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195" tabRatio="731" activeTab="9"/>
  </bookViews>
  <sheets>
    <sheet name="seznam" sheetId="1" r:id="rId1"/>
    <sheet name="KO double 16" sheetId="2" state="hidden" r:id="rId2"/>
    <sheet name="V double 16" sheetId="3" state="hidden" r:id="rId3"/>
    <sheet name="5čl. sk.40" sheetId="4" state="hidden" r:id="rId4"/>
    <sheet name="6čl. sk. 24" sheetId="5" state="hidden" r:id="rId5"/>
    <sheet name="8čl. sk. 8" sheetId="6" state="hidden" r:id="rId6"/>
    <sheet name="skupiny" sheetId="7" r:id="rId7"/>
    <sheet name="KO32 útěcha" sheetId="8" state="hidden" r:id="rId8"/>
    <sheet name="V32 útěcha" sheetId="9" state="hidden" r:id="rId9"/>
    <sheet name="2.stupeň" sheetId="10" r:id="rId10"/>
    <sheet name="o umístění 1-20" sheetId="11" r:id="rId11"/>
    <sheet name="útěcha" sheetId="12" r:id="rId12"/>
    <sheet name="čtyřhra" sheetId="13" r:id="rId13"/>
  </sheets>
  <definedNames>
    <definedName name="Excel_BuiltIn_Print_Area_1">'o umístění 1-20'!$A$318:$I$409</definedName>
    <definedName name="_xlnm.Print_Titles" localSheetId="4">'6čl. sk. 24'!$1:$3</definedName>
    <definedName name="_xlnm.Print_Titles" localSheetId="0">'seznam'!$1:$1</definedName>
    <definedName name="_xlnm.Print_Area" localSheetId="3">'5čl. sk.40'!$A$1:$L$92</definedName>
    <definedName name="_xlnm.Print_Area" localSheetId="4">'6čl. sk. 24'!$A$1:$L$89</definedName>
    <definedName name="_xlnm.Print_Area" localSheetId="5">'8čl. sk. 8'!$A$1:$N$32</definedName>
    <definedName name="_xlnm.Print_Area" localSheetId="12">'čtyřhra'!$A$1:$H$67</definedName>
    <definedName name="_xlnm.Print_Area" localSheetId="1">'KO double 16'!$A$1:$G$35</definedName>
    <definedName name="_xlnm.Print_Area" localSheetId="10">'o umístění 1-20'!$A$1:$I$170</definedName>
    <definedName name="_xlnm.Print_Area" localSheetId="0">'seznam'!$A$1:$H$40</definedName>
    <definedName name="_xlnm.Print_Area" localSheetId="6">'skupiny'!$A$1:$K$72</definedName>
    <definedName name="_xlnm.Print_Area" localSheetId="11">'útěcha'!$A$1:$H$66</definedName>
  </definedNames>
  <calcPr fullCalcOnLoad="1"/>
</workbook>
</file>

<file path=xl/sharedStrings.xml><?xml version="1.0" encoding="utf-8"?>
<sst xmlns="http://schemas.openxmlformats.org/spreadsheetml/2006/main" count="1264" uniqueCount="366">
  <si>
    <t xml:space="preserve"> </t>
  </si>
  <si>
    <t>Jméno</t>
  </si>
  <si>
    <t>Oddíl</t>
  </si>
  <si>
    <t>číslo</t>
  </si>
  <si>
    <t>klub</t>
  </si>
  <si>
    <t>set1</t>
  </si>
  <si>
    <t>set2</t>
  </si>
  <si>
    <t>set3</t>
  </si>
  <si>
    <t>set4</t>
  </si>
  <si>
    <t>set5</t>
  </si>
  <si>
    <t>D</t>
  </si>
  <si>
    <t>H</t>
  </si>
  <si>
    <t>vítěz</t>
  </si>
  <si>
    <t>&lt;Table&gt;&lt;TR&gt;&lt;TD width=500&gt;</t>
  </si>
  <si>
    <t>Skupina A</t>
  </si>
  <si>
    <t>Body</t>
  </si>
  <si>
    <t>Pořadí</t>
  </si>
  <si>
    <t>XXX</t>
  </si>
  <si>
    <t>Skupina B</t>
  </si>
  <si>
    <t>Skupina C</t>
  </si>
  <si>
    <t>Skupina D</t>
  </si>
  <si>
    <t>Skupina E</t>
  </si>
  <si>
    <t>Skupina F</t>
  </si>
  <si>
    <t>Skupina G</t>
  </si>
  <si>
    <t>Skupina H</t>
  </si>
  <si>
    <t>Umístění</t>
  </si>
  <si>
    <t xml:space="preserve">1. - 8.místo </t>
  </si>
  <si>
    <t>3. - 4.místo</t>
  </si>
  <si>
    <t>3.místo</t>
  </si>
  <si>
    <t>5. - 8.místo</t>
  </si>
  <si>
    <t>1.místo</t>
  </si>
  <si>
    <t>5.místo</t>
  </si>
  <si>
    <t>7.místo</t>
  </si>
  <si>
    <t>7. - 8.místo</t>
  </si>
  <si>
    <t xml:space="preserve">9.-16.místo </t>
  </si>
  <si>
    <t>9.místo</t>
  </si>
  <si>
    <t>11. - 12.místo</t>
  </si>
  <si>
    <t>11.místo</t>
  </si>
  <si>
    <t>13. - 16.místo</t>
  </si>
  <si>
    <t>13.místo</t>
  </si>
  <si>
    <t>15. - 16.místo</t>
  </si>
  <si>
    <t>19. - 20.místo</t>
  </si>
  <si>
    <t>19.místo</t>
  </si>
  <si>
    <t>15.místo</t>
  </si>
  <si>
    <t>Název turnaje</t>
  </si>
  <si>
    <t>Datum</t>
  </si>
  <si>
    <t>hráč 1</t>
  </si>
  <si>
    <t>hráč 2</t>
  </si>
  <si>
    <t>1. Kolo</t>
  </si>
  <si>
    <t>3. Kolo</t>
  </si>
  <si>
    <t>5. Kolo</t>
  </si>
  <si>
    <t>2. Kolo</t>
  </si>
  <si>
    <t>4. Kolo</t>
  </si>
  <si>
    <t xml:space="preserve">hráč 2 </t>
  </si>
  <si>
    <t>4.kolo</t>
  </si>
  <si>
    <t>6. Kolo</t>
  </si>
  <si>
    <t>7. Kolo</t>
  </si>
  <si>
    <t>Dvouhra - Skupina A</t>
  </si>
  <si>
    <t>hráč 3</t>
  </si>
  <si>
    <t>hráč 4</t>
  </si>
  <si>
    <t>Slavoj Praha</t>
  </si>
  <si>
    <t>Sportovní Jižní Město</t>
  </si>
  <si>
    <t>Lokomotiva Vršovice</t>
  </si>
  <si>
    <t>ZŠ Lužiny</t>
  </si>
  <si>
    <t>nar.</t>
  </si>
  <si>
    <t>Slovan Bohnice</t>
  </si>
  <si>
    <t>SK DDM Kotlářka EN Praha</t>
  </si>
  <si>
    <t>Marat Filip</t>
  </si>
  <si>
    <t>Mrázková Lia</t>
  </si>
  <si>
    <t>Bartoňová Tereza</t>
  </si>
  <si>
    <t>SKST Vlašim</t>
  </si>
  <si>
    <t>Skupina I</t>
  </si>
  <si>
    <t>Skupina J</t>
  </si>
  <si>
    <t xml:space="preserve">17.-20.místo </t>
  </si>
  <si>
    <t>Avia Čakovice</t>
  </si>
  <si>
    <t>Zeman Vítek</t>
  </si>
  <si>
    <t>Šimůnková Veronika</t>
  </si>
  <si>
    <t>Krameš Jan</t>
  </si>
  <si>
    <t>AC Sparta Praha</t>
  </si>
  <si>
    <t>Havránek Jakub</t>
  </si>
  <si>
    <t>Buček Tadeáš</t>
  </si>
  <si>
    <t>Vejvodová Gabriela</t>
  </si>
  <si>
    <t>TTC Říčany</t>
  </si>
  <si>
    <t>Záboj Matěj</t>
  </si>
  <si>
    <t>FK Kolín</t>
  </si>
  <si>
    <t>Štricová Niamh</t>
  </si>
  <si>
    <t>STC Slaný</t>
  </si>
  <si>
    <t>Teska Tomáš</t>
  </si>
  <si>
    <t>Mitka Kryštof</t>
  </si>
  <si>
    <t>Čelákovice</t>
  </si>
  <si>
    <t>Stránská Anna</t>
  </si>
  <si>
    <t>Viktorie Radim</t>
  </si>
  <si>
    <t>Zimní cena Jižního Města nejmladšího žactva</t>
  </si>
  <si>
    <t>Zeman Martin</t>
  </si>
  <si>
    <t>Sloup Richard</t>
  </si>
  <si>
    <t>Lorencová Kateřina</t>
  </si>
  <si>
    <t>Sochor Adam</t>
  </si>
  <si>
    <t>Stadion Žižkov</t>
  </si>
  <si>
    <t>Vaniš Silvestr</t>
  </si>
  <si>
    <t>Kaucký Jakub</t>
  </si>
  <si>
    <t>Zlámal Josef</t>
  </si>
  <si>
    <t>Melíšek Ondřej</t>
  </si>
  <si>
    <t>Přída Kryštof</t>
  </si>
  <si>
    <t>Knobloch Miroslav</t>
  </si>
  <si>
    <t>Josef Tomáš</t>
  </si>
  <si>
    <t>Nesvačil Jiří</t>
  </si>
  <si>
    <t>Zeman Jiří</t>
  </si>
  <si>
    <t>Vyčítal Jan</t>
  </si>
  <si>
    <t>Sedláček Lukáš</t>
  </si>
  <si>
    <t>Blažková Anežka</t>
  </si>
  <si>
    <t>Kopecký Michael</t>
  </si>
  <si>
    <t>Koběrský Matěj</t>
  </si>
  <si>
    <t>Lebeda Josef</t>
  </si>
  <si>
    <t xml:space="preserve">Stach Matěj </t>
  </si>
  <si>
    <t>TTC Bělá pod Bezdězem</t>
  </si>
  <si>
    <t>Chadima Ondřej</t>
  </si>
  <si>
    <t>Bolardt Sebastián</t>
  </si>
  <si>
    <t>KST Zbraslav</t>
  </si>
  <si>
    <t>Wegmann Tomáš</t>
  </si>
  <si>
    <t>Kratochvíl David</t>
  </si>
  <si>
    <t>Verbík František</t>
  </si>
  <si>
    <t>Čtyřhra - Zimní cena Jižního Města nejmladšího žactva</t>
  </si>
  <si>
    <t>Krameš Jan (Lokomotiva Vršovice)</t>
  </si>
  <si>
    <t>Štricová Niamh (STC Slaný)</t>
  </si>
  <si>
    <t/>
  </si>
  <si>
    <t>bye</t>
  </si>
  <si>
    <t>Bolardt Sebastián (KST Zbraslav)</t>
  </si>
  <si>
    <t>Wegmann Tomáš (KST Zbraslav)</t>
  </si>
  <si>
    <t>3:0 (1,3,4)</t>
  </si>
  <si>
    <t>Josef Tomáš (AC Sparta Praha)</t>
  </si>
  <si>
    <t>Verbík František (TTC Říčany)</t>
  </si>
  <si>
    <t>3:0 (2,5,5)</t>
  </si>
  <si>
    <t>Lorencová Kateřina (Slavoj Praha)</t>
  </si>
  <si>
    <t>Zeman Jiří (Slavoj Praha)</t>
  </si>
  <si>
    <t>3:2 (10,9,-9,-11,8)</t>
  </si>
  <si>
    <t>3:0 (4,6,6)</t>
  </si>
  <si>
    <t>Zeman Martin (Sportovní Jižní Město)</t>
  </si>
  <si>
    <t>Zeman Vítek (Sportovní Jižní Město)</t>
  </si>
  <si>
    <t>Sochor Adam (Stadion Žižkov)</t>
  </si>
  <si>
    <t>Vaniš Silvestr (Avia Čakovice)</t>
  </si>
  <si>
    <t>3:1 (8,-9,5,6)</t>
  </si>
  <si>
    <t>3:1 (-9,9,7,5)</t>
  </si>
  <si>
    <t>Knobloch Miroslav (Lokomotiva Vršovice)</t>
  </si>
  <si>
    <t>Blažková Anežka (Lokomotiva Vršovice)</t>
  </si>
  <si>
    <t>Přída Kryštof (SK DDM Kotlářka EN Praha)</t>
  </si>
  <si>
    <t>Vyčítal Jan (SK DDM Kotlářka EN Praha)</t>
  </si>
  <si>
    <t>3:1 (2,7,-10,3)</t>
  </si>
  <si>
    <t>3:0 (3,4,6)</t>
  </si>
  <si>
    <t>Teska Tomáš (SKST Vlašim)</t>
  </si>
  <si>
    <t>Stach Matěj  (TTC Bělá pod Bezdězem)</t>
  </si>
  <si>
    <t>Mitka Kryštof (Čelákovice)</t>
  </si>
  <si>
    <t>Marat Filip (Sportovní Jižní Město)</t>
  </si>
  <si>
    <t>3:0 (6,7,9)</t>
  </si>
  <si>
    <t>Kopecký Michael (SK DDM Kotlářka EN Praha)</t>
  </si>
  <si>
    <t>Koběrský Matěj (SK DDM Kotlářka EN Praha)</t>
  </si>
  <si>
    <t>3:0 (7,5,1)</t>
  </si>
  <si>
    <t>Nesvačil Jiří (ZŠ Lužiny)</t>
  </si>
  <si>
    <t>Vejvodová Gabriela (ZŠ Lužiny)</t>
  </si>
  <si>
    <t>3:2 (9,-8,-6,10,2)</t>
  </si>
  <si>
    <t>Šimůnková Veronika (Slavoj Praha)</t>
  </si>
  <si>
    <t>Buček Tadeáš (Slavoj Praha)</t>
  </si>
  <si>
    <t>3:2 (7,6,-5,-6,8)</t>
  </si>
  <si>
    <t>3:0 (6,8,6)</t>
  </si>
  <si>
    <t>Bartoňová Tereza (Slovan Bohnice)</t>
  </si>
  <si>
    <t>Mrázková Lia (Slovan Bohnice)</t>
  </si>
  <si>
    <t>Sloup Richard (Lokomotiva Vršovice)</t>
  </si>
  <si>
    <t>Havránek Jakub (Lokomotiva Vršovice)</t>
  </si>
  <si>
    <t>3:0 (7,9,8)</t>
  </si>
  <si>
    <t>3:0 (4,4,4)</t>
  </si>
  <si>
    <t>Zlámal Josef (Sportovní Jižní Město)</t>
  </si>
  <si>
    <t>Melíšek Ondřej (Avia Čakovice)</t>
  </si>
  <si>
    <t>Kaucký Jakub (SK DDM Kotlářka EN Praha)</t>
  </si>
  <si>
    <t>Lebeda Josef (SK DDM Kotlářka EN Praha)</t>
  </si>
  <si>
    <t>3:0 (5,2,3)</t>
  </si>
  <si>
    <t>Chadima Ondřej (STC Slaný)</t>
  </si>
  <si>
    <t>Kratochvíl David (Sportovní Jižní Město)</t>
  </si>
  <si>
    <t>3:2 (8,6,-7,-9,7)</t>
  </si>
  <si>
    <t>3:0 (3,5,3)</t>
  </si>
  <si>
    <t>Záboj Matěj (FK Kolín)</t>
  </si>
  <si>
    <t>Stránská Anna (Viktorie Radim)</t>
  </si>
  <si>
    <t>Dvouhra - Zimní cena Jižního Města nejmladšího žactva</t>
  </si>
  <si>
    <t>Krameš Jan - bye</t>
  </si>
  <si>
    <t>3:0</t>
  </si>
  <si>
    <t>Melíšek Ondřej - Zlámal Josef</t>
  </si>
  <si>
    <t>3 : 2 (-9,5,8,-7,8)</t>
  </si>
  <si>
    <t>0:3</t>
  </si>
  <si>
    <t>3:2</t>
  </si>
  <si>
    <t>bye - Zlámal Josef</t>
  </si>
  <si>
    <t>2:3</t>
  </si>
  <si>
    <t>Krameš Jan - Melíšek Ondřej</t>
  </si>
  <si>
    <t>3 : 0 (3,1,1)</t>
  </si>
  <si>
    <t>Melíšek Ondřej - bye</t>
  </si>
  <si>
    <t>Zlámal Josef - Krameš Jan</t>
  </si>
  <si>
    <t>0 : 3 (-4,-3,-3)</t>
  </si>
  <si>
    <t>Štricová Niamh - Kratochvíl David</t>
  </si>
  <si>
    <t>3 : 0 (5,1,3)</t>
  </si>
  <si>
    <t>Knobloch Miroslav - Kaucký Jakub</t>
  </si>
  <si>
    <t>3 : 1 (5,14,-9,2)</t>
  </si>
  <si>
    <t>3:1</t>
  </si>
  <si>
    <t>Kratochvíl David - Kaucký Jakub</t>
  </si>
  <si>
    <t>2 : 3 (7,-9,-7,10,-11)</t>
  </si>
  <si>
    <t>1:3</t>
  </si>
  <si>
    <t>Štricová Niamh - Knobloch Miroslav</t>
  </si>
  <si>
    <t>3 : 0 (5,9,3)</t>
  </si>
  <si>
    <t>Knobloch Miroslav - Kratochvíl David</t>
  </si>
  <si>
    <t>3 : 0 (7,11,6)</t>
  </si>
  <si>
    <t>Kaucký Jakub - Štricová Niamh</t>
  </si>
  <si>
    <t>0 : 3 (-9,-7,-5)</t>
  </si>
  <si>
    <t>Záboj Matěj - Verbík František</t>
  </si>
  <si>
    <t>3 : 0 (2,5,5)</t>
  </si>
  <si>
    <t>Přída Kryštof - Vaniš Silvestr</t>
  </si>
  <si>
    <t>3 : 0 (4,2,3)</t>
  </si>
  <si>
    <t>Verbík František - Vaniš Silvestr</t>
  </si>
  <si>
    <t>3 : 0 (7,3,8)</t>
  </si>
  <si>
    <t>Záboj Matěj - Přída Kryštof</t>
  </si>
  <si>
    <t>3 : 0 (5,2,3)</t>
  </si>
  <si>
    <t>Přída Kryštof - Verbík František</t>
  </si>
  <si>
    <t>3 : 0 (5,6,6)</t>
  </si>
  <si>
    <t>Vaniš Silvestr - Záboj Matěj</t>
  </si>
  <si>
    <t>0 : 3 (-4,-3,-1)</t>
  </si>
  <si>
    <t>Stránská Anna - Wegmann Tomáš</t>
  </si>
  <si>
    <t>3 : 0 (3,4,3)</t>
  </si>
  <si>
    <t>Buček Tadeáš - Sochor Adam</t>
  </si>
  <si>
    <t>3 : 1 (-9,9,10,7)</t>
  </si>
  <si>
    <t>Wegmann Tomáš - Sochor Adam</t>
  </si>
  <si>
    <t>0 : 3 (-3,-2,-6)</t>
  </si>
  <si>
    <t>Stránská Anna - Buček Tadeáš</t>
  </si>
  <si>
    <t>3 : 0 (9,10,10)</t>
  </si>
  <si>
    <t>Buček Tadeáš - Wegmann Tomáš</t>
  </si>
  <si>
    <t>3 : 0 (4,1,1)</t>
  </si>
  <si>
    <t>Sochor Adam - Stránská Anna</t>
  </si>
  <si>
    <t>0 : 3 (-7,-6,-11)</t>
  </si>
  <si>
    <t>Teska Tomáš - Bolardt Sebastián</t>
  </si>
  <si>
    <t>3 : 0 (0,0,1)</t>
  </si>
  <si>
    <t>Josef Tomáš - Lorencová Kateřina</t>
  </si>
  <si>
    <t>0 : 3 (-6,-9,-10)</t>
  </si>
  <si>
    <t>Bolardt Sebastián - Lorencová Kateřina</t>
  </si>
  <si>
    <t>Teska Tomáš - Josef Tomáš</t>
  </si>
  <si>
    <t>3 : 0 (3,0,4)</t>
  </si>
  <si>
    <t>Josef Tomáš - Bolardt Sebastián</t>
  </si>
  <si>
    <t>3 : 0 (5,3,8)</t>
  </si>
  <si>
    <t>Lorencová Kateřina - Teska Tomáš</t>
  </si>
  <si>
    <t>0 : 3 (-9,-1,-4)</t>
  </si>
  <si>
    <t>Mitka Kryštof - Lebeda Josef</t>
  </si>
  <si>
    <t>3 : 0 (4,6,10)</t>
  </si>
  <si>
    <t>Nesvačil Jiří - Mrázková Lia</t>
  </si>
  <si>
    <t>0 : 3 (-1,-7,-3)</t>
  </si>
  <si>
    <t>Lebeda Josef - Mrázková Lia</t>
  </si>
  <si>
    <t>0 : 3 (-3,-8,-8)</t>
  </si>
  <si>
    <t>Mitka Kryštof - Nesvačil Jiří</t>
  </si>
  <si>
    <t>3 : 0 (4,3,3)</t>
  </si>
  <si>
    <t>Nesvačil Jiří - Lebeda Josef</t>
  </si>
  <si>
    <t>0 : 3 (-7,-7,-9)</t>
  </si>
  <si>
    <t>Mrázková Lia - Mitka Kryštof</t>
  </si>
  <si>
    <t>0 : 3 (-5,-8,-7)</t>
  </si>
  <si>
    <t>Šimůnková Veronika - Chadima Ondřej</t>
  </si>
  <si>
    <t>3 : 0 (4,3,5)</t>
  </si>
  <si>
    <t>Vyčítal Jan - Havránek Jakub</t>
  </si>
  <si>
    <t>0 : 3 (-4,-3,-6)</t>
  </si>
  <si>
    <t>Chadima Ondřej - Havránek Jakub</t>
  </si>
  <si>
    <t>0 : 3 (-3,-5,-2)</t>
  </si>
  <si>
    <t>Šimůnková Veronika - Vyčítal Jan</t>
  </si>
  <si>
    <t>3 : 0 (3,2,2)</t>
  </si>
  <si>
    <t>Vyčítal Jan - Chadima Ondřej</t>
  </si>
  <si>
    <t>3 : 1 (10,6,-9,4)</t>
  </si>
  <si>
    <t>Havránek Jakub - Šimůnková Veronika</t>
  </si>
  <si>
    <t>3 : 2 (9,-6,10,-10,6)</t>
  </si>
  <si>
    <t>Stach Matěj  - Koběrský Matěj</t>
  </si>
  <si>
    <t>3 : 0 (3,3,2)</t>
  </si>
  <si>
    <t>Zeman Jiří - Zeman Vítek</t>
  </si>
  <si>
    <t>0 : 3 (-3,-1,-3)</t>
  </si>
  <si>
    <t>Koběrský Matěj - Zeman Vítek</t>
  </si>
  <si>
    <t>0 : 3 (-1,-4,-1)</t>
  </si>
  <si>
    <t>Stach Matěj  - Zeman Jiří</t>
  </si>
  <si>
    <t>3 : 0 (4,4,6)</t>
  </si>
  <si>
    <t>Zeman Jiří - Koběrský Matěj</t>
  </si>
  <si>
    <t>3 : 2 (-10,-10,11,6,5)</t>
  </si>
  <si>
    <t xml:space="preserve">Zeman Vítek - Stach Matěj </t>
  </si>
  <si>
    <t>0 : 3 (-4,-7,-6)</t>
  </si>
  <si>
    <t>Zeman Martin - Blažková Anežka</t>
  </si>
  <si>
    <t>3 : 0 (6,5,4)</t>
  </si>
  <si>
    <t>Vejvodová Gabriela - Bartoňová Tereza</t>
  </si>
  <si>
    <t>0 : 3 (-12,-3,-2)</t>
  </si>
  <si>
    <t>Blažková Anežka - Bartoňová Tereza</t>
  </si>
  <si>
    <t>1 : 3 (8,-4,-3,-4)</t>
  </si>
  <si>
    <t>Zeman Martin - Vejvodová Gabriela</t>
  </si>
  <si>
    <t>3 : 0 (3,3,5)</t>
  </si>
  <si>
    <t>Vejvodová Gabriela - Blažková Anežka</t>
  </si>
  <si>
    <t>3 : 1 (-5,10,8,7)</t>
  </si>
  <si>
    <t>Bartoňová Tereza - Zeman Martin</t>
  </si>
  <si>
    <t>0 : 3 (-9,-7,-3)</t>
  </si>
  <si>
    <t>Marat Filip - Kopecký Michael</t>
  </si>
  <si>
    <t>3 : 0 (3,3,3)</t>
  </si>
  <si>
    <t>Sedláček Lukáš - Sloup Richard</t>
  </si>
  <si>
    <t>0 : 3 (-6,-2,-9)</t>
  </si>
  <si>
    <t>Sedláček Lukáš (Slavoj Praha)</t>
  </si>
  <si>
    <t>Kopecký Michael - Sloup Richard</t>
  </si>
  <si>
    <t>0 : 3 (-2,-4,-3)</t>
  </si>
  <si>
    <t>Marat Filip - Sedláček Lukáš</t>
  </si>
  <si>
    <t>3 : 0 (6,6,7)</t>
  </si>
  <si>
    <t>Sedláček Lukáš - Kopecký Michael</t>
  </si>
  <si>
    <t>3 : 1 (7,-5,11,8)</t>
  </si>
  <si>
    <t>Sloup Richard - Marat Filip</t>
  </si>
  <si>
    <t>0 : 3 (-6,-8,-13)</t>
  </si>
  <si>
    <t>Verbik František</t>
  </si>
  <si>
    <t>3:0 (8,7,5)</t>
  </si>
  <si>
    <t>3:2 (-8,9,9,-9,6)</t>
  </si>
  <si>
    <t>3:0 (4,8,1)</t>
  </si>
  <si>
    <t>3:0 (4,8,6)</t>
  </si>
  <si>
    <t>3:0 (7,4,4)</t>
  </si>
  <si>
    <t>3:0 (14,9,1)</t>
  </si>
  <si>
    <t>3:2 (9,7,-6,-9,10)</t>
  </si>
  <si>
    <t>3:2 (-5,7,6,-8,11)</t>
  </si>
  <si>
    <t>3:0 (8,9,7)</t>
  </si>
  <si>
    <t>3:2 (8,-7,9,-8,4)</t>
  </si>
  <si>
    <t>3:1 (10,13,-9,6)</t>
  </si>
  <si>
    <t>Útěcha - Zimní cena Jižního Města nejmladšího žactva</t>
  </si>
  <si>
    <t>3:0 (8,3,8)</t>
  </si>
  <si>
    <t>3:0 (3,8,7)</t>
  </si>
  <si>
    <t>3:2 (-8,7,-6,9,5)</t>
  </si>
  <si>
    <t>3:1 (8,-8,9,7)</t>
  </si>
  <si>
    <t>3:2 (-5,-8,5,3,7)</t>
  </si>
  <si>
    <t>3:0 (6,7,5)</t>
  </si>
  <si>
    <t>o 1.-8. místo - Zimní cena Jižního Města nejmladšího žactva</t>
  </si>
  <si>
    <t>3:1 (-7,8,9,8)</t>
  </si>
  <si>
    <t>3:2 (-9,8,-7,9,8)</t>
  </si>
  <si>
    <t>3:0 (10,1,2)</t>
  </si>
  <si>
    <t>3:0 (4,7,7)</t>
  </si>
  <si>
    <t>3:2 (6,-8,-7,6,8)</t>
  </si>
  <si>
    <t>3:0 (10,6,3)</t>
  </si>
  <si>
    <t>3:1 (-8,2,8,8)</t>
  </si>
  <si>
    <t>3:1 (8,8,-6,5)</t>
  </si>
  <si>
    <t>3:1 (6,-11,8,4)</t>
  </si>
  <si>
    <t>3:1 (8,14,-4,4)</t>
  </si>
  <si>
    <t>3:1 (-7,8,10,12)</t>
  </si>
  <si>
    <t>3:0 (9,9,9)</t>
  </si>
  <si>
    <t>o 9.-16. místo - Zimní cena Jižního Města nejmladšího žactva</t>
  </si>
  <si>
    <t>3:1 (9,-7,6,9)</t>
  </si>
  <si>
    <t>3:1 (10,-9,8,9)</t>
  </si>
  <si>
    <t>3:2 (9,-9,-9,8,9)</t>
  </si>
  <si>
    <t>3:0 (8,6,9)</t>
  </si>
  <si>
    <t>3:1 (9,-8,8,8)</t>
  </si>
  <si>
    <t>3:0 (9,8,9)</t>
  </si>
  <si>
    <t>3:1 (9,-9,7,9)</t>
  </si>
  <si>
    <t>3:2 (-4,4,10,-7,6)</t>
  </si>
  <si>
    <t>3:2 (-8,9,-9,6,10)</t>
  </si>
  <si>
    <t>3:1 (-4,5,5,6)</t>
  </si>
  <si>
    <t>3:1 (-6,4,6,7)</t>
  </si>
  <si>
    <t>3:0 (3,7,10)</t>
  </si>
  <si>
    <t>3:0 (5,5,5)</t>
  </si>
  <si>
    <t>3:1 (-5,2,9,11)</t>
  </si>
  <si>
    <t>3:0 (6,4,6)</t>
  </si>
  <si>
    <t>o 17.-20. místo - Zimní cena Jižního Města nejmladšího žactva</t>
  </si>
  <si>
    <t>Hlavní soutěž - Zimní cena Jižního Města nejmladšího žactva</t>
  </si>
  <si>
    <t>3:2 (11,-8,7,-10,9)</t>
  </si>
  <si>
    <t>3:0 (7,5,8)</t>
  </si>
  <si>
    <t>3:1 (7,-8,10,13)</t>
  </si>
  <si>
    <t>3:0 (9,9,7)</t>
  </si>
  <si>
    <t>3:2 (9,-8,-5,5,10)</t>
  </si>
  <si>
    <t>3:0 (11,7,2)</t>
  </si>
  <si>
    <t>3:0 (4,1,9)</t>
  </si>
  <si>
    <t>3:0 (8,6,1)</t>
  </si>
  <si>
    <t>3:0 (8,13,6)</t>
  </si>
  <si>
    <t>3:1 (-9,10,8,10)</t>
  </si>
  <si>
    <t>3:0 (4,6,5)</t>
  </si>
  <si>
    <t>3:1 (4,-12,5,7)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</si>
</sst>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i/>
      <sz val="16"/>
      <name val="Times New Roman CE"/>
      <family val="1"/>
    </font>
    <font>
      <sz val="10"/>
      <name val="Times New Roman CE"/>
      <family val="1"/>
    </font>
    <font>
      <sz val="8"/>
      <name val="Arial"/>
      <family val="2"/>
    </font>
    <font>
      <b/>
      <i/>
      <sz val="10"/>
      <name val="Times New Roman CE"/>
      <family val="1"/>
    </font>
    <font>
      <b/>
      <sz val="16"/>
      <name val="Times New Roman CE"/>
      <family val="1"/>
    </font>
    <font>
      <b/>
      <sz val="8"/>
      <name val="Arial"/>
      <family val="2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i/>
      <sz val="14"/>
      <name val="Times New Roman CE"/>
      <family val="1"/>
    </font>
    <font>
      <b/>
      <sz val="8"/>
      <name val="Verdana"/>
      <family val="2"/>
    </font>
    <font>
      <sz val="10"/>
      <name val="Arial"/>
      <family val="2"/>
    </font>
    <font>
      <b/>
      <sz val="12"/>
      <name val="Times New Roman CE"/>
      <family val="1"/>
    </font>
    <font>
      <b/>
      <sz val="10"/>
      <name val="Arial"/>
      <family val="2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name val="Verdana"/>
      <family val="2"/>
    </font>
    <font>
      <sz val="10"/>
      <name val="Verdana"/>
      <family val="2"/>
    </font>
    <font>
      <sz val="8"/>
      <name val="Arial CE"/>
      <family val="0"/>
    </font>
    <font>
      <sz val="8"/>
      <color indexed="9"/>
      <name val="Verdana"/>
      <family val="2"/>
    </font>
    <font>
      <b/>
      <sz val="8"/>
      <name val="Arial CE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double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/>
    </border>
    <border>
      <left style="thin"/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/>
      <top/>
      <bottom style="double"/>
    </border>
    <border>
      <left/>
      <right style="double">
        <color indexed="8"/>
      </right>
      <top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/>
      <top style="thin"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/>
      <right style="thin"/>
      <top/>
      <bottom style="double"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33" borderId="24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5" fillId="33" borderId="36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0" fillId="0" borderId="19" xfId="0" applyFont="1" applyBorder="1" applyAlignment="1">
      <alignment/>
    </xf>
    <xf numFmtId="0" fontId="4" fillId="0" borderId="39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46" applyFont="1">
      <alignment/>
      <protection/>
    </xf>
    <xf numFmtId="0" fontId="3" fillId="0" borderId="0" xfId="46" applyFont="1">
      <alignment/>
      <protection/>
    </xf>
    <xf numFmtId="0" fontId="13" fillId="0" borderId="0" xfId="46">
      <alignment/>
      <protection/>
    </xf>
    <xf numFmtId="0" fontId="9" fillId="0" borderId="0" xfId="46" applyFont="1">
      <alignment/>
      <protection/>
    </xf>
    <xf numFmtId="0" fontId="7" fillId="0" borderId="0" xfId="46" applyFont="1">
      <alignment/>
      <protection/>
    </xf>
    <xf numFmtId="0" fontId="6" fillId="0" borderId="0" xfId="46" applyFont="1">
      <alignment/>
      <protection/>
    </xf>
    <xf numFmtId="14" fontId="4" fillId="0" borderId="0" xfId="46" applyNumberFormat="1" applyFont="1" applyAlignment="1">
      <alignment horizontal="right"/>
      <protection/>
    </xf>
    <xf numFmtId="0" fontId="4" fillId="0" borderId="42" xfId="46" applyFont="1" applyBorder="1">
      <alignment/>
      <protection/>
    </xf>
    <xf numFmtId="0" fontId="4" fillId="0" borderId="43" xfId="46" applyFont="1" applyBorder="1">
      <alignment/>
      <protection/>
    </xf>
    <xf numFmtId="0" fontId="4" fillId="0" borderId="0" xfId="46" applyFont="1" applyAlignment="1">
      <alignment horizontal="right"/>
      <protection/>
    </xf>
    <xf numFmtId="0" fontId="4" fillId="0" borderId="44" xfId="46" applyFont="1" applyBorder="1">
      <alignment/>
      <protection/>
    </xf>
    <xf numFmtId="0" fontId="4" fillId="0" borderId="45" xfId="46" applyFont="1" applyBorder="1">
      <alignment/>
      <protection/>
    </xf>
    <xf numFmtId="14" fontId="4" fillId="0" borderId="43" xfId="46" applyNumberFormat="1" applyFont="1" applyBorder="1">
      <alignment/>
      <protection/>
    </xf>
    <xf numFmtId="14" fontId="4" fillId="0" borderId="0" xfId="46" applyNumberFormat="1" applyFont="1">
      <alignment/>
      <protection/>
    </xf>
    <xf numFmtId="0" fontId="14" fillId="0" borderId="0" xfId="46" applyFont="1">
      <alignment/>
      <protection/>
    </xf>
    <xf numFmtId="0" fontId="4" fillId="0" borderId="46" xfId="46" applyFont="1" applyBorder="1">
      <alignment/>
      <protection/>
    </xf>
    <xf numFmtId="49" fontId="4" fillId="0" borderId="0" xfId="46" applyNumberFormat="1" applyFont="1">
      <alignment/>
      <protection/>
    </xf>
    <xf numFmtId="0" fontId="4" fillId="0" borderId="0" xfId="46" applyFont="1" applyBorder="1">
      <alignment/>
      <protection/>
    </xf>
    <xf numFmtId="0" fontId="4" fillId="0" borderId="0" xfId="46" applyFont="1" applyBorder="1" applyAlignment="1">
      <alignment horizontal="right"/>
      <protection/>
    </xf>
    <xf numFmtId="49" fontId="4" fillId="0" borderId="0" xfId="46" applyNumberFormat="1" applyFont="1" applyBorder="1">
      <alignment/>
      <protection/>
    </xf>
    <xf numFmtId="0" fontId="15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4" fillId="0" borderId="0" xfId="46" applyFont="1" applyAlignment="1">
      <alignment horizontal="center"/>
      <protection/>
    </xf>
    <xf numFmtId="0" fontId="10" fillId="0" borderId="41" xfId="46" applyFont="1" applyBorder="1">
      <alignment/>
      <protection/>
    </xf>
    <xf numFmtId="0" fontId="4" fillId="0" borderId="47" xfId="46" applyFont="1" applyBorder="1">
      <alignment/>
      <protection/>
    </xf>
    <xf numFmtId="0" fontId="4" fillId="0" borderId="48" xfId="46" applyFont="1" applyBorder="1">
      <alignment/>
      <protection/>
    </xf>
    <xf numFmtId="0" fontId="4" fillId="0" borderId="41" xfId="46" applyFont="1" applyBorder="1" applyAlignment="1">
      <alignment horizontal="right"/>
      <protection/>
    </xf>
    <xf numFmtId="14" fontId="16" fillId="0" borderId="47" xfId="46" applyNumberFormat="1" applyFont="1" applyBorder="1" applyAlignment="1">
      <alignment horizontal="right"/>
      <protection/>
    </xf>
    <xf numFmtId="0" fontId="13" fillId="0" borderId="23" xfId="46" applyBorder="1">
      <alignment/>
      <protection/>
    </xf>
    <xf numFmtId="49" fontId="16" fillId="0" borderId="0" xfId="46" applyNumberFormat="1" applyFont="1" applyBorder="1" applyAlignment="1">
      <alignment horizontal="right"/>
      <protection/>
    </xf>
    <xf numFmtId="49" fontId="16" fillId="0" borderId="46" xfId="46" applyNumberFormat="1" applyFont="1" applyBorder="1" applyAlignment="1">
      <alignment horizontal="right"/>
      <protection/>
    </xf>
    <xf numFmtId="0" fontId="16" fillId="0" borderId="49" xfId="46" applyFont="1" applyBorder="1" applyAlignment="1">
      <alignment horizontal="right"/>
      <protection/>
    </xf>
    <xf numFmtId="0" fontId="4" fillId="0" borderId="0" xfId="46" applyFont="1" applyFill="1" applyBorder="1">
      <alignment/>
      <protection/>
    </xf>
    <xf numFmtId="164" fontId="17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49" fontId="5" fillId="34" borderId="56" xfId="0" applyNumberFormat="1" applyFont="1" applyFill="1" applyBorder="1" applyAlignment="1">
      <alignment/>
    </xf>
    <xf numFmtId="49" fontId="5" fillId="34" borderId="57" xfId="0" applyNumberFormat="1" applyFont="1" applyFill="1" applyBorder="1" applyAlignment="1">
      <alignment/>
    </xf>
    <xf numFmtId="49" fontId="5" fillId="34" borderId="58" xfId="0" applyNumberFormat="1" applyFont="1" applyFill="1" applyBorder="1" applyAlignment="1">
      <alignment/>
    </xf>
    <xf numFmtId="0" fontId="5" fillId="0" borderId="59" xfId="0" applyFont="1" applyBorder="1" applyAlignment="1">
      <alignment/>
    </xf>
    <xf numFmtId="49" fontId="5" fillId="0" borderId="60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49" fontId="5" fillId="34" borderId="62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5" fillId="34" borderId="63" xfId="0" applyNumberFormat="1" applyFont="1" applyFill="1" applyBorder="1" applyAlignment="1">
      <alignment/>
    </xf>
    <xf numFmtId="49" fontId="5" fillId="0" borderId="64" xfId="0" applyNumberFormat="1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49" fontId="5" fillId="34" borderId="63" xfId="0" applyNumberFormat="1" applyFont="1" applyFill="1" applyBorder="1" applyAlignment="1">
      <alignment/>
    </xf>
    <xf numFmtId="0" fontId="5" fillId="0" borderId="66" xfId="0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49" fontId="5" fillId="34" borderId="69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9" fontId="5" fillId="34" borderId="70" xfId="0" applyNumberFormat="1" applyFont="1" applyFill="1" applyBorder="1" applyAlignment="1">
      <alignment/>
    </xf>
    <xf numFmtId="49" fontId="5" fillId="34" borderId="7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45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49" fontId="5" fillId="35" borderId="62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49" fontId="5" fillId="35" borderId="63" xfId="0" applyNumberFormat="1" applyFont="1" applyFill="1" applyBorder="1" applyAlignment="1">
      <alignment/>
    </xf>
    <xf numFmtId="49" fontId="5" fillId="35" borderId="6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73" xfId="0" applyFont="1" applyBorder="1" applyAlignment="1">
      <alignment/>
    </xf>
    <xf numFmtId="14" fontId="14" fillId="0" borderId="0" xfId="0" applyNumberFormat="1" applyFont="1" applyAlignment="1">
      <alignment horizontal="right"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 horizontal="right"/>
    </xf>
    <xf numFmtId="0" fontId="4" fillId="0" borderId="39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46" applyNumberFormat="1" applyFont="1">
      <alignment/>
      <protection/>
    </xf>
    <xf numFmtId="0" fontId="4" fillId="0" borderId="43" xfId="46" applyNumberFormat="1" applyFont="1" applyBorder="1">
      <alignment/>
      <protection/>
    </xf>
    <xf numFmtId="0" fontId="10" fillId="0" borderId="0" xfId="0" applyFont="1" applyFill="1" applyBorder="1" applyAlignment="1">
      <alignment/>
    </xf>
    <xf numFmtId="0" fontId="4" fillId="0" borderId="44" xfId="46" applyFont="1" applyFill="1" applyBorder="1">
      <alignment/>
      <protection/>
    </xf>
    <xf numFmtId="14" fontId="16" fillId="0" borderId="0" xfId="46" applyNumberFormat="1" applyFont="1" applyBorder="1" applyAlignment="1">
      <alignment horizontal="right"/>
      <protection/>
    </xf>
    <xf numFmtId="0" fontId="13" fillId="0" borderId="47" xfId="46" applyBorder="1">
      <alignment/>
      <protection/>
    </xf>
    <xf numFmtId="0" fontId="4" fillId="0" borderId="43" xfId="46" applyNumberFormat="1" applyFont="1" applyBorder="1" applyProtection="1">
      <alignment/>
      <protection/>
    </xf>
    <xf numFmtId="0" fontId="4" fillId="36" borderId="0" xfId="46" applyFont="1" applyFill="1" applyBorder="1">
      <alignment/>
      <protection/>
    </xf>
    <xf numFmtId="0" fontId="4" fillId="37" borderId="0" xfId="46" applyFont="1" applyFill="1">
      <alignment/>
      <protection/>
    </xf>
    <xf numFmtId="0" fontId="4" fillId="37" borderId="0" xfId="46" applyFont="1" applyFill="1" applyBorder="1">
      <alignment/>
      <protection/>
    </xf>
    <xf numFmtId="0" fontId="4" fillId="38" borderId="0" xfId="46" applyFont="1" applyFill="1">
      <alignment/>
      <protection/>
    </xf>
    <xf numFmtId="0" fontId="4" fillId="38" borderId="0" xfId="46" applyFont="1" applyFill="1" applyBorder="1">
      <alignment/>
      <protection/>
    </xf>
    <xf numFmtId="0" fontId="4" fillId="39" borderId="0" xfId="46" applyFont="1" applyFill="1" applyBorder="1">
      <alignment/>
      <protection/>
    </xf>
    <xf numFmtId="0" fontId="4" fillId="40" borderId="0" xfId="46" applyFont="1" applyFill="1" applyBorder="1">
      <alignment/>
      <protection/>
    </xf>
    <xf numFmtId="0" fontId="4" fillId="0" borderId="40" xfId="46" applyNumberFormat="1" applyFont="1" applyBorder="1" applyAlignment="1">
      <alignment horizontal="right"/>
      <protection/>
    </xf>
    <xf numFmtId="0" fontId="5" fillId="0" borderId="77" xfId="0" applyNumberFormat="1" applyFont="1" applyBorder="1" applyAlignment="1">
      <alignment horizontal="center"/>
    </xf>
    <xf numFmtId="0" fontId="5" fillId="0" borderId="61" xfId="0" applyNumberFormat="1" applyFont="1" applyBorder="1" applyAlignment="1">
      <alignment horizontal="center"/>
    </xf>
    <xf numFmtId="0" fontId="5" fillId="0" borderId="65" xfId="0" applyNumberFormat="1" applyFont="1" applyBorder="1" applyAlignment="1">
      <alignment horizontal="center"/>
    </xf>
    <xf numFmtId="0" fontId="5" fillId="0" borderId="78" xfId="0" applyNumberFormat="1" applyFont="1" applyBorder="1" applyAlignment="1">
      <alignment horizontal="center"/>
    </xf>
    <xf numFmtId="0" fontId="5" fillId="0" borderId="79" xfId="0" applyNumberFormat="1" applyFont="1" applyBorder="1" applyAlignment="1">
      <alignment horizontal="center"/>
    </xf>
    <xf numFmtId="0" fontId="5" fillId="0" borderId="60" xfId="0" applyNumberFormat="1" applyFont="1" applyBorder="1" applyAlignment="1">
      <alignment horizontal="center"/>
    </xf>
    <xf numFmtId="0" fontId="5" fillId="0" borderId="80" xfId="0" applyNumberFormat="1" applyFont="1" applyBorder="1" applyAlignment="1">
      <alignment horizontal="center"/>
    </xf>
    <xf numFmtId="0" fontId="5" fillId="0" borderId="81" xfId="0" applyNumberFormat="1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56" xfId="0" applyNumberFormat="1" applyFont="1" applyFill="1" applyBorder="1" applyAlignment="1">
      <alignment/>
    </xf>
    <xf numFmtId="49" fontId="5" fillId="0" borderId="57" xfId="0" applyNumberFormat="1" applyFont="1" applyFill="1" applyBorder="1" applyAlignment="1">
      <alignment/>
    </xf>
    <xf numFmtId="49" fontId="5" fillId="0" borderId="58" xfId="0" applyNumberFormat="1" applyFont="1" applyFill="1" applyBorder="1" applyAlignment="1">
      <alignment/>
    </xf>
    <xf numFmtId="49" fontId="5" fillId="0" borderId="62" xfId="0" applyNumberFormat="1" applyFont="1" applyFill="1" applyBorder="1" applyAlignment="1">
      <alignment/>
    </xf>
    <xf numFmtId="49" fontId="5" fillId="0" borderId="63" xfId="0" applyNumberFormat="1" applyFont="1" applyFill="1" applyBorder="1" applyAlignment="1">
      <alignment/>
    </xf>
    <xf numFmtId="49" fontId="5" fillId="0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93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94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95" xfId="0" applyNumberFormat="1" applyFont="1" applyBorder="1" applyAlignment="1">
      <alignment horizontal="center"/>
    </xf>
    <xf numFmtId="0" fontId="5" fillId="0" borderId="96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59" fillId="41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49" fontId="4" fillId="42" borderId="16" xfId="0" applyNumberFormat="1" applyFont="1" applyFill="1" applyBorder="1" applyAlignment="1">
      <alignment/>
    </xf>
    <xf numFmtId="49" fontId="4" fillId="42" borderId="17" xfId="0" applyNumberFormat="1" applyFont="1" applyFill="1" applyBorder="1" applyAlignment="1">
      <alignment/>
    </xf>
    <xf numFmtId="49" fontId="4" fillId="42" borderId="18" xfId="0" applyNumberFormat="1" applyFont="1" applyFill="1" applyBorder="1" applyAlignment="1">
      <alignment/>
    </xf>
    <xf numFmtId="49" fontId="4" fillId="42" borderId="24" xfId="0" applyNumberFormat="1" applyFont="1" applyFill="1" applyBorder="1" applyAlignment="1">
      <alignment/>
    </xf>
    <xf numFmtId="49" fontId="4" fillId="42" borderId="0" xfId="0" applyNumberFormat="1" applyFont="1" applyFill="1" applyBorder="1" applyAlignment="1">
      <alignment/>
    </xf>
    <xf numFmtId="49" fontId="4" fillId="42" borderId="25" xfId="0" applyNumberFormat="1" applyFont="1" applyFill="1" applyBorder="1" applyAlignment="1">
      <alignment/>
    </xf>
    <xf numFmtId="49" fontId="4" fillId="42" borderId="36" xfId="0" applyNumberFormat="1" applyFont="1" applyFill="1" applyBorder="1" applyAlignment="1">
      <alignment/>
    </xf>
    <xf numFmtId="49" fontId="4" fillId="42" borderId="10" xfId="0" applyNumberFormat="1" applyFont="1" applyFill="1" applyBorder="1" applyAlignment="1">
      <alignment/>
    </xf>
    <xf numFmtId="49" fontId="4" fillId="42" borderId="37" xfId="0" applyNumberFormat="1" applyFont="1" applyFill="1" applyBorder="1" applyAlignment="1">
      <alignment/>
    </xf>
    <xf numFmtId="49" fontId="4" fillId="42" borderId="97" xfId="0" applyNumberFormat="1" applyFont="1" applyFill="1" applyBorder="1" applyAlignment="1">
      <alignment/>
    </xf>
    <xf numFmtId="49" fontId="4" fillId="42" borderId="98" xfId="0" applyNumberFormat="1" applyFont="1" applyFill="1" applyBorder="1" applyAlignment="1">
      <alignment/>
    </xf>
    <xf numFmtId="49" fontId="4" fillId="42" borderId="99" xfId="0" applyNumberFormat="1" applyFont="1" applyFill="1" applyBorder="1" applyAlignment="1">
      <alignment/>
    </xf>
    <xf numFmtId="0" fontId="4" fillId="43" borderId="0" xfId="0" applyFont="1" applyFill="1" applyAlignment="1">
      <alignment/>
    </xf>
    <xf numFmtId="0" fontId="5" fillId="43" borderId="20" xfId="0" applyFont="1" applyFill="1" applyBorder="1" applyAlignment="1">
      <alignment/>
    </xf>
    <xf numFmtId="0" fontId="5" fillId="43" borderId="27" xfId="0" applyFont="1" applyFill="1" applyBorder="1" applyAlignment="1">
      <alignment/>
    </xf>
    <xf numFmtId="0" fontId="5" fillId="43" borderId="32" xfId="0" applyFont="1" applyFill="1" applyBorder="1" applyAlignment="1">
      <alignment/>
    </xf>
    <xf numFmtId="0" fontId="5" fillId="43" borderId="100" xfId="0" applyFont="1" applyFill="1" applyBorder="1" applyAlignment="1">
      <alignment/>
    </xf>
    <xf numFmtId="0" fontId="5" fillId="43" borderId="101" xfId="0" applyFont="1" applyFill="1" applyBorder="1" applyAlignment="1">
      <alignment/>
    </xf>
    <xf numFmtId="0" fontId="5" fillId="43" borderId="102" xfId="0" applyFont="1" applyFill="1" applyBorder="1" applyAlignment="1">
      <alignment/>
    </xf>
    <xf numFmtId="0" fontId="5" fillId="43" borderId="103" xfId="0" applyFont="1" applyFill="1" applyBorder="1" applyAlignment="1">
      <alignment/>
    </xf>
    <xf numFmtId="0" fontId="5" fillId="43" borderId="104" xfId="0" applyFont="1" applyFill="1" applyBorder="1" applyAlignment="1">
      <alignment/>
    </xf>
    <xf numFmtId="0" fontId="5" fillId="43" borderId="60" xfId="0" applyFont="1" applyFill="1" applyBorder="1" applyAlignment="1">
      <alignment/>
    </xf>
    <xf numFmtId="0" fontId="5" fillId="43" borderId="79" xfId="0" applyFont="1" applyFill="1" applyBorder="1" applyAlignment="1">
      <alignment/>
    </xf>
    <xf numFmtId="0" fontId="5" fillId="43" borderId="105" xfId="0" applyFont="1" applyFill="1" applyBorder="1" applyAlignment="1">
      <alignment/>
    </xf>
    <xf numFmtId="0" fontId="5" fillId="43" borderId="80" xfId="0" applyFont="1" applyFill="1" applyBorder="1" applyAlignment="1">
      <alignment/>
    </xf>
    <xf numFmtId="0" fontId="5" fillId="43" borderId="106" xfId="0" applyFont="1" applyFill="1" applyBorder="1" applyAlignment="1">
      <alignment/>
    </xf>
    <xf numFmtId="0" fontId="4" fillId="43" borderId="39" xfId="0" applyFont="1" applyFill="1" applyBorder="1" applyAlignment="1">
      <alignment/>
    </xf>
    <xf numFmtId="49" fontId="4" fillId="14" borderId="16" xfId="0" applyNumberFormat="1" applyFont="1" applyFill="1" applyBorder="1" applyAlignment="1">
      <alignment/>
    </xf>
    <xf numFmtId="49" fontId="4" fillId="14" borderId="17" xfId="0" applyNumberFormat="1" applyFont="1" applyFill="1" applyBorder="1" applyAlignment="1">
      <alignment/>
    </xf>
    <xf numFmtId="49" fontId="4" fillId="14" borderId="18" xfId="0" applyNumberFormat="1" applyFont="1" applyFill="1" applyBorder="1" applyAlignment="1">
      <alignment/>
    </xf>
    <xf numFmtId="49" fontId="4" fillId="14" borderId="24" xfId="0" applyNumberFormat="1" applyFont="1" applyFill="1" applyBorder="1" applyAlignment="1">
      <alignment/>
    </xf>
    <xf numFmtId="49" fontId="4" fillId="14" borderId="0" xfId="0" applyNumberFormat="1" applyFont="1" applyFill="1" applyBorder="1" applyAlignment="1">
      <alignment/>
    </xf>
    <xf numFmtId="49" fontId="4" fillId="14" borderId="25" xfId="0" applyNumberFormat="1" applyFont="1" applyFill="1" applyBorder="1" applyAlignment="1">
      <alignment/>
    </xf>
    <xf numFmtId="49" fontId="4" fillId="14" borderId="36" xfId="0" applyNumberFormat="1" applyFont="1" applyFill="1" applyBorder="1" applyAlignment="1">
      <alignment/>
    </xf>
    <xf numFmtId="49" fontId="4" fillId="14" borderId="10" xfId="0" applyNumberFormat="1" applyFont="1" applyFill="1" applyBorder="1" applyAlignment="1">
      <alignment/>
    </xf>
    <xf numFmtId="49" fontId="4" fillId="14" borderId="37" xfId="0" applyNumberFormat="1" applyFont="1" applyFill="1" applyBorder="1" applyAlignment="1">
      <alignment/>
    </xf>
    <xf numFmtId="49" fontId="4" fillId="14" borderId="97" xfId="0" applyNumberFormat="1" applyFont="1" applyFill="1" applyBorder="1" applyAlignment="1">
      <alignment/>
    </xf>
    <xf numFmtId="49" fontId="4" fillId="14" borderId="98" xfId="0" applyNumberFormat="1" applyFont="1" applyFill="1" applyBorder="1" applyAlignment="1">
      <alignment/>
    </xf>
    <xf numFmtId="49" fontId="4" fillId="14" borderId="99" xfId="0" applyNumberFormat="1" applyFont="1" applyFill="1" applyBorder="1" applyAlignment="1">
      <alignment/>
    </xf>
    <xf numFmtId="0" fontId="3" fillId="43" borderId="0" xfId="0" applyFont="1" applyFill="1" applyAlignment="1">
      <alignment/>
    </xf>
    <xf numFmtId="0" fontId="6" fillId="43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43" borderId="28" xfId="0" applyFont="1" applyFill="1" applyBorder="1" applyAlignment="1">
      <alignment/>
    </xf>
    <xf numFmtId="0" fontId="22" fillId="0" borderId="0" xfId="0" applyFont="1" applyAlignment="1">
      <alignment/>
    </xf>
    <xf numFmtId="6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4" fillId="0" borderId="41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4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107" xfId="0" applyFont="1" applyBorder="1" applyAlignment="1">
      <alignment/>
    </xf>
    <xf numFmtId="14" fontId="4" fillId="0" borderId="108" xfId="46" applyNumberFormat="1" applyFont="1" applyBorder="1">
      <alignment/>
      <protection/>
    </xf>
    <xf numFmtId="0" fontId="4" fillId="0" borderId="40" xfId="46" applyNumberFormat="1" applyFont="1" applyBorder="1" applyAlignment="1">
      <alignment horizontal="left"/>
      <protection/>
    </xf>
    <xf numFmtId="0" fontId="25" fillId="0" borderId="23" xfId="46" applyFont="1" applyBorder="1">
      <alignment/>
      <protection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-družstv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http://www.slavojpraha.c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ojpraha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1000125</xdr:colOff>
      <xdr:row>23</xdr:row>
      <xdr:rowOff>95250</xdr:rowOff>
    </xdr:from>
    <xdr:ext cx="2981325" cy="361950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7600950" y="3267075"/>
          <a:ext cx="2981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0</xdr:row>
      <xdr:rowOff>152400</xdr:rowOff>
    </xdr:from>
    <xdr:ext cx="3086100" cy="342900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962025" y="152400"/>
          <a:ext cx="3086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0</xdr:row>
      <xdr:rowOff>152400</xdr:rowOff>
    </xdr:from>
    <xdr:ext cx="3086100" cy="352425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962025" y="152400"/>
          <a:ext cx="3086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0</xdr:row>
      <xdr:rowOff>152400</xdr:rowOff>
    </xdr:from>
    <xdr:ext cx="3086100" cy="352425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962025" y="152400"/>
          <a:ext cx="3086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0</xdr:row>
      <xdr:rowOff>152400</xdr:rowOff>
    </xdr:from>
    <xdr:ext cx="3086100" cy="342900"/>
    <xdr:sp>
      <xdr:nvSpPr>
        <xdr:cNvPr id="1" name="Obdélník 4">
          <a:hlinkClick r:id="rId1"/>
        </xdr:cNvPr>
        <xdr:cNvSpPr>
          <a:spLocks/>
        </xdr:cNvSpPr>
      </xdr:nvSpPr>
      <xdr:spPr>
        <a:xfrm>
          <a:off x="962025" y="152400"/>
          <a:ext cx="3086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11001375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01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01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11001375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01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01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1100137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66</xdr:row>
      <xdr:rowOff>0</xdr:rowOff>
    </xdr:from>
    <xdr:to>
      <xdr:col>7</xdr:col>
      <xdr:colOff>1447800</xdr:colOff>
      <xdr:row>66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11001375"/>
          <a:ext cx="1400175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66</xdr:row>
      <xdr:rowOff>0</xdr:rowOff>
    </xdr:from>
    <xdr:to>
      <xdr:col>7</xdr:col>
      <xdr:colOff>1362075</xdr:colOff>
      <xdr:row>66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1001375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66</xdr:row>
      <xdr:rowOff>0</xdr:rowOff>
    </xdr:from>
    <xdr:to>
      <xdr:col>7</xdr:col>
      <xdr:colOff>1352550</xdr:colOff>
      <xdr:row>66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1001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390525</xdr:colOff>
      <xdr:row>0</xdr:row>
      <xdr:rowOff>161925</xdr:rowOff>
    </xdr:from>
    <xdr:ext cx="3076575" cy="342900"/>
    <xdr:sp>
      <xdr:nvSpPr>
        <xdr:cNvPr id="67" name="Obdélník 68">
          <a:hlinkClick r:id="rId5"/>
        </xdr:cNvPr>
        <xdr:cNvSpPr>
          <a:spLocks/>
        </xdr:cNvSpPr>
      </xdr:nvSpPr>
      <xdr:spPr>
        <a:xfrm>
          <a:off x="704850" y="161925"/>
          <a:ext cx="3076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0</xdr:row>
      <xdr:rowOff>152400</xdr:rowOff>
    </xdr:from>
    <xdr:ext cx="3076575" cy="333375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704850" y="152400"/>
          <a:ext cx="3076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161925</xdr:rowOff>
    </xdr:from>
    <xdr:ext cx="3076575" cy="342900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590550" y="161925"/>
          <a:ext cx="3076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0</xdr:row>
      <xdr:rowOff>180975</xdr:rowOff>
    </xdr:from>
    <xdr:ext cx="3076575" cy="342900"/>
    <xdr:sp>
      <xdr:nvSpPr>
        <xdr:cNvPr id="1" name="Obdélník 2">
          <a:hlinkClick r:id="rId1"/>
        </xdr:cNvPr>
        <xdr:cNvSpPr>
          <a:spLocks/>
        </xdr:cNvSpPr>
      </xdr:nvSpPr>
      <xdr:spPr>
        <a:xfrm>
          <a:off x="733425" y="180975"/>
          <a:ext cx="3076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I1" sqref="I1:L6"/>
    </sheetView>
  </sheetViews>
  <sheetFormatPr defaultColWidth="9.00390625" defaultRowHeight="12.75"/>
  <cols>
    <col min="1" max="1" width="4.625" style="218" bestFit="1" customWidth="1"/>
    <col min="2" max="2" width="18.75390625" style="1" bestFit="1" customWidth="1"/>
    <col min="3" max="3" width="5.00390625" style="1" bestFit="1" customWidth="1"/>
    <col min="4" max="4" width="24.625" style="1" bestFit="1" customWidth="1"/>
    <col min="5" max="5" width="9.125" style="1" bestFit="1" customWidth="1"/>
    <col min="6" max="6" width="9.125" style="215" customWidth="1"/>
    <col min="7" max="7" width="15.375" style="1" bestFit="1" customWidth="1"/>
    <col min="8" max="8" width="14.75390625" style="1" bestFit="1" customWidth="1"/>
    <col min="9" max="16384" width="9.125" style="1" customWidth="1"/>
  </cols>
  <sheetData>
    <row r="1" spans="1:12" s="215" customFormat="1" ht="10.5" customHeight="1">
      <c r="A1" s="216" t="s">
        <v>0</v>
      </c>
      <c r="B1" s="214" t="s">
        <v>1</v>
      </c>
      <c r="C1" s="214" t="s">
        <v>64</v>
      </c>
      <c r="D1" s="214" t="s">
        <v>2</v>
      </c>
      <c r="E1" s="214" t="s">
        <v>25</v>
      </c>
      <c r="F1" s="214">
        <f>SUM(F2:F40)</f>
        <v>39</v>
      </c>
      <c r="G1" s="214" t="s">
        <v>44</v>
      </c>
      <c r="H1" s="214" t="s">
        <v>45</v>
      </c>
      <c r="I1" s="288"/>
      <c r="J1" s="288"/>
      <c r="K1" s="288"/>
      <c r="L1" s="288"/>
    </row>
    <row r="2" spans="1:12" ht="10.5" customHeight="1">
      <c r="A2" s="217">
        <v>1</v>
      </c>
      <c r="B2" s="274" t="s">
        <v>77</v>
      </c>
      <c r="C2" s="274">
        <v>2002</v>
      </c>
      <c r="D2" s="274" t="s">
        <v>62</v>
      </c>
      <c r="E2" s="280">
        <v>1</v>
      </c>
      <c r="F2" s="272">
        <v>1</v>
      </c>
      <c r="G2" s="223" t="s">
        <v>92</v>
      </c>
      <c r="H2" s="224">
        <v>41336</v>
      </c>
      <c r="I2" s="288"/>
      <c r="J2" s="288"/>
      <c r="K2" s="288"/>
      <c r="L2" s="288"/>
    </row>
    <row r="3" spans="1:12" ht="10.5" customHeight="1">
      <c r="A3" s="217">
        <v>2</v>
      </c>
      <c r="B3" s="274" t="s">
        <v>85</v>
      </c>
      <c r="C3" s="274">
        <v>2002</v>
      </c>
      <c r="D3" s="274" t="s">
        <v>86</v>
      </c>
      <c r="E3" s="280">
        <v>2</v>
      </c>
      <c r="F3" s="272">
        <v>1</v>
      </c>
      <c r="I3" s="288"/>
      <c r="J3" s="288"/>
      <c r="K3" s="288"/>
      <c r="L3" s="288"/>
    </row>
    <row r="4" spans="1:12" ht="10.5" customHeight="1">
      <c r="A4" s="217">
        <v>3</v>
      </c>
      <c r="B4" s="274" t="s">
        <v>83</v>
      </c>
      <c r="C4" s="274">
        <v>2002</v>
      </c>
      <c r="D4" s="274" t="s">
        <v>84</v>
      </c>
      <c r="E4" s="280">
        <v>3</v>
      </c>
      <c r="F4" s="271">
        <v>1</v>
      </c>
      <c r="I4" s="288"/>
      <c r="J4" s="288"/>
      <c r="K4" s="288"/>
      <c r="L4" s="288"/>
    </row>
    <row r="5" spans="1:12" ht="10.5" customHeight="1">
      <c r="A5" s="217">
        <v>4</v>
      </c>
      <c r="B5" s="274" t="s">
        <v>90</v>
      </c>
      <c r="C5" s="274">
        <v>2002</v>
      </c>
      <c r="D5" s="274" t="s">
        <v>91</v>
      </c>
      <c r="E5" s="280">
        <v>4</v>
      </c>
      <c r="F5" s="272">
        <v>1</v>
      </c>
      <c r="I5" s="288"/>
      <c r="J5" s="288"/>
      <c r="K5" s="288"/>
      <c r="L5" s="288"/>
    </row>
    <row r="6" spans="1:12" ht="10.5" customHeight="1">
      <c r="A6" s="217">
        <v>5</v>
      </c>
      <c r="B6" s="274" t="s">
        <v>87</v>
      </c>
      <c r="C6" s="274">
        <v>2002</v>
      </c>
      <c r="D6" s="274" t="s">
        <v>70</v>
      </c>
      <c r="E6" s="280">
        <v>5</v>
      </c>
      <c r="F6" s="272">
        <v>1</v>
      </c>
      <c r="I6" s="288"/>
      <c r="J6" s="288"/>
      <c r="K6" s="288"/>
      <c r="L6" s="288"/>
    </row>
    <row r="7" spans="1:12" ht="10.5" customHeight="1">
      <c r="A7" s="217">
        <v>6</v>
      </c>
      <c r="B7" s="274" t="s">
        <v>88</v>
      </c>
      <c r="C7" s="274">
        <v>2002</v>
      </c>
      <c r="D7" s="274" t="s">
        <v>89</v>
      </c>
      <c r="E7" s="279">
        <v>6</v>
      </c>
      <c r="F7" s="272">
        <v>1</v>
      </c>
      <c r="I7" s="2"/>
      <c r="J7" s="3"/>
      <c r="K7" s="3"/>
      <c r="L7" s="3"/>
    </row>
    <row r="8" spans="1:12" ht="10.5" customHeight="1">
      <c r="A8" s="217">
        <v>7</v>
      </c>
      <c r="B8" s="274" t="s">
        <v>76</v>
      </c>
      <c r="C8" s="274">
        <v>2002</v>
      </c>
      <c r="D8" s="274" t="s">
        <v>60</v>
      </c>
      <c r="E8" s="280">
        <v>7</v>
      </c>
      <c r="F8" s="272">
        <v>1</v>
      </c>
      <c r="I8" s="5"/>
      <c r="J8" s="3"/>
      <c r="K8" s="3"/>
      <c r="L8" s="3"/>
    </row>
    <row r="9" spans="1:12" ht="10.5" customHeight="1">
      <c r="A9" s="217">
        <v>8</v>
      </c>
      <c r="B9" s="274" t="s">
        <v>113</v>
      </c>
      <c r="C9" s="274">
        <v>2003</v>
      </c>
      <c r="D9" s="274" t="s">
        <v>114</v>
      </c>
      <c r="E9" s="279">
        <v>8</v>
      </c>
      <c r="F9" s="272">
        <v>1</v>
      </c>
      <c r="I9" s="5"/>
      <c r="J9" s="3"/>
      <c r="K9" s="3"/>
      <c r="L9" s="3"/>
    </row>
    <row r="10" spans="1:6" ht="10.5" customHeight="1">
      <c r="A10" s="217">
        <v>9</v>
      </c>
      <c r="B10" s="275" t="s">
        <v>93</v>
      </c>
      <c r="C10" s="275">
        <v>2002</v>
      </c>
      <c r="D10" s="275" t="s">
        <v>61</v>
      </c>
      <c r="E10" s="280">
        <v>9</v>
      </c>
      <c r="F10" s="272">
        <v>1</v>
      </c>
    </row>
    <row r="11" spans="1:6" ht="10.5" customHeight="1">
      <c r="A11" s="217">
        <v>10</v>
      </c>
      <c r="B11" s="156" t="s">
        <v>67</v>
      </c>
      <c r="C11" s="156">
        <v>2002</v>
      </c>
      <c r="D11" s="156" t="s">
        <v>61</v>
      </c>
      <c r="E11" s="280">
        <v>10</v>
      </c>
      <c r="F11" s="272">
        <v>1</v>
      </c>
    </row>
    <row r="12" spans="1:6" ht="10.5" customHeight="1">
      <c r="A12" s="217">
        <v>11</v>
      </c>
      <c r="B12" s="156" t="s">
        <v>75</v>
      </c>
      <c r="C12" s="156">
        <v>2002</v>
      </c>
      <c r="D12" s="156" t="s">
        <v>61</v>
      </c>
      <c r="E12" s="280">
        <v>11</v>
      </c>
      <c r="F12" s="273">
        <v>1</v>
      </c>
    </row>
    <row r="13" spans="1:6" ht="11.25">
      <c r="A13" s="217">
        <v>12</v>
      </c>
      <c r="B13" s="156" t="s">
        <v>94</v>
      </c>
      <c r="C13" s="156">
        <v>2003</v>
      </c>
      <c r="D13" s="156" t="s">
        <v>62</v>
      </c>
      <c r="E13" s="280">
        <v>12</v>
      </c>
      <c r="F13" s="273">
        <v>1</v>
      </c>
    </row>
    <row r="14" spans="1:6" ht="11.25">
      <c r="A14" s="217">
        <v>13</v>
      </c>
      <c r="B14" s="274" t="s">
        <v>69</v>
      </c>
      <c r="C14" s="274">
        <v>2003</v>
      </c>
      <c r="D14" s="274" t="s">
        <v>65</v>
      </c>
      <c r="E14" s="280">
        <v>13</v>
      </c>
      <c r="F14" s="273">
        <v>1</v>
      </c>
    </row>
    <row r="15" spans="1:6" ht="11.25">
      <c r="A15" s="217">
        <v>14</v>
      </c>
      <c r="B15" s="274" t="s">
        <v>79</v>
      </c>
      <c r="C15" s="274">
        <v>2002</v>
      </c>
      <c r="D15" s="274" t="s">
        <v>62</v>
      </c>
      <c r="E15" s="280">
        <v>14</v>
      </c>
      <c r="F15" s="273">
        <v>1</v>
      </c>
    </row>
    <row r="16" spans="1:6" ht="11.25">
      <c r="A16" s="217">
        <v>15</v>
      </c>
      <c r="B16" s="99" t="s">
        <v>68</v>
      </c>
      <c r="C16" s="99">
        <v>2002</v>
      </c>
      <c r="D16" s="269" t="s">
        <v>65</v>
      </c>
      <c r="E16" s="280">
        <v>15</v>
      </c>
      <c r="F16" s="272">
        <v>1</v>
      </c>
    </row>
    <row r="17" spans="1:6" ht="11.25">
      <c r="A17" s="217">
        <v>16</v>
      </c>
      <c r="B17" s="274" t="s">
        <v>95</v>
      </c>
      <c r="C17" s="274">
        <v>2003</v>
      </c>
      <c r="D17" s="274" t="s">
        <v>60</v>
      </c>
      <c r="E17" s="280">
        <v>16</v>
      </c>
      <c r="F17" s="273">
        <v>1</v>
      </c>
    </row>
    <row r="18" spans="1:6" ht="11.25">
      <c r="A18" s="217">
        <v>17</v>
      </c>
      <c r="B18" s="156" t="s">
        <v>96</v>
      </c>
      <c r="C18" s="156">
        <v>2002</v>
      </c>
      <c r="D18" s="156" t="s">
        <v>97</v>
      </c>
      <c r="E18" s="280">
        <v>17</v>
      </c>
      <c r="F18" s="271">
        <v>1</v>
      </c>
    </row>
    <row r="19" spans="1:6" ht="11.25">
      <c r="A19" s="217">
        <v>18</v>
      </c>
      <c r="B19" s="274" t="s">
        <v>98</v>
      </c>
      <c r="C19" s="274">
        <v>2002</v>
      </c>
      <c r="D19" s="274" t="s">
        <v>74</v>
      </c>
      <c r="E19" s="280">
        <v>18</v>
      </c>
      <c r="F19" s="272">
        <v>1</v>
      </c>
    </row>
    <row r="20" spans="1:6" ht="11.25">
      <c r="A20" s="217">
        <v>19</v>
      </c>
      <c r="B20" s="99" t="s">
        <v>99</v>
      </c>
      <c r="C20" s="99">
        <v>2003</v>
      </c>
      <c r="D20" s="99" t="s">
        <v>66</v>
      </c>
      <c r="E20" s="280">
        <v>20</v>
      </c>
      <c r="F20" s="272">
        <v>1</v>
      </c>
    </row>
    <row r="21" spans="1:6" ht="11.25">
      <c r="A21" s="217">
        <v>20</v>
      </c>
      <c r="B21" s="274" t="s">
        <v>100</v>
      </c>
      <c r="C21" s="274">
        <v>2004</v>
      </c>
      <c r="D21" s="274" t="s">
        <v>61</v>
      </c>
      <c r="E21" s="280">
        <v>21</v>
      </c>
      <c r="F21" s="272">
        <v>1</v>
      </c>
    </row>
    <row r="22" spans="1:6" ht="11.25">
      <c r="A22" s="217">
        <v>21</v>
      </c>
      <c r="B22" s="156" t="s">
        <v>101</v>
      </c>
      <c r="C22" s="156">
        <v>2004</v>
      </c>
      <c r="D22" s="156" t="s">
        <v>74</v>
      </c>
      <c r="E22" s="280">
        <v>24</v>
      </c>
      <c r="F22" s="272">
        <v>1</v>
      </c>
    </row>
    <row r="23" spans="1:6" ht="11.25">
      <c r="A23" s="217">
        <v>22</v>
      </c>
      <c r="B23" s="156" t="s">
        <v>102</v>
      </c>
      <c r="C23" s="99">
        <v>2002</v>
      </c>
      <c r="D23" s="99" t="s">
        <v>66</v>
      </c>
      <c r="E23" s="280">
        <v>25</v>
      </c>
      <c r="F23" s="272">
        <v>1</v>
      </c>
    </row>
    <row r="24" spans="1:6" ht="12">
      <c r="A24" s="217">
        <v>23</v>
      </c>
      <c r="B24" s="274" t="s">
        <v>103</v>
      </c>
      <c r="C24" s="274">
        <v>2002</v>
      </c>
      <c r="D24" s="274" t="s">
        <v>62</v>
      </c>
      <c r="E24" s="280">
        <v>26</v>
      </c>
      <c r="F24" s="272">
        <v>1</v>
      </c>
    </row>
    <row r="25" spans="1:6" ht="12">
      <c r="A25" s="217">
        <v>24</v>
      </c>
      <c r="B25" s="156" t="s">
        <v>80</v>
      </c>
      <c r="C25" s="156">
        <v>2002</v>
      </c>
      <c r="D25" s="156" t="s">
        <v>60</v>
      </c>
      <c r="E25" s="280">
        <v>28</v>
      </c>
      <c r="F25" s="271">
        <v>1</v>
      </c>
    </row>
    <row r="26" spans="1:7" ht="12">
      <c r="A26" s="217">
        <v>25</v>
      </c>
      <c r="B26" s="156" t="s">
        <v>104</v>
      </c>
      <c r="C26" s="156">
        <v>2003</v>
      </c>
      <c r="D26" s="156" t="s">
        <v>78</v>
      </c>
      <c r="E26" s="280">
        <v>29</v>
      </c>
      <c r="F26" s="272">
        <v>1</v>
      </c>
      <c r="G26" s="270"/>
    </row>
    <row r="27" spans="1:6" ht="12">
      <c r="A27" s="217">
        <v>26</v>
      </c>
      <c r="B27" s="274" t="s">
        <v>105</v>
      </c>
      <c r="C27" s="274">
        <v>2003</v>
      </c>
      <c r="D27" s="274" t="s">
        <v>63</v>
      </c>
      <c r="E27" s="280">
        <v>32</v>
      </c>
      <c r="F27" s="272">
        <v>1</v>
      </c>
    </row>
    <row r="28" spans="1:6" ht="11.25">
      <c r="A28" s="217">
        <v>27</v>
      </c>
      <c r="B28" s="274" t="s">
        <v>106</v>
      </c>
      <c r="C28" s="274">
        <v>2003</v>
      </c>
      <c r="D28" s="274" t="s">
        <v>60</v>
      </c>
      <c r="E28" s="280">
        <v>33</v>
      </c>
      <c r="F28" s="271">
        <v>1</v>
      </c>
    </row>
    <row r="29" spans="1:6" ht="11.25">
      <c r="A29" s="217">
        <v>28</v>
      </c>
      <c r="B29" s="99" t="s">
        <v>107</v>
      </c>
      <c r="C29" s="4">
        <v>2004</v>
      </c>
      <c r="D29" s="269" t="s">
        <v>66</v>
      </c>
      <c r="E29" s="280">
        <v>34</v>
      </c>
      <c r="F29" s="272">
        <v>1</v>
      </c>
    </row>
    <row r="30" spans="1:6" ht="11.25">
      <c r="A30" s="217">
        <v>29</v>
      </c>
      <c r="B30" s="99" t="s">
        <v>81</v>
      </c>
      <c r="C30" s="99">
        <v>2002</v>
      </c>
      <c r="D30" s="99" t="s">
        <v>63</v>
      </c>
      <c r="E30" s="280">
        <v>35</v>
      </c>
      <c r="F30" s="271">
        <v>1</v>
      </c>
    </row>
    <row r="31" spans="1:6" ht="11.25">
      <c r="A31" s="217">
        <v>30</v>
      </c>
      <c r="B31" s="99" t="s">
        <v>108</v>
      </c>
      <c r="C31" s="99">
        <v>2004</v>
      </c>
      <c r="D31" s="99" t="s">
        <v>60</v>
      </c>
      <c r="E31" s="280">
        <v>36</v>
      </c>
      <c r="F31" s="272">
        <v>1</v>
      </c>
    </row>
    <row r="32" spans="1:6" ht="11.25">
      <c r="A32" s="217">
        <v>31</v>
      </c>
      <c r="B32" s="274" t="s">
        <v>109</v>
      </c>
      <c r="C32" s="274">
        <v>2002</v>
      </c>
      <c r="D32" s="274" t="s">
        <v>62</v>
      </c>
      <c r="E32" s="280">
        <v>37</v>
      </c>
      <c r="F32" s="272">
        <v>1</v>
      </c>
    </row>
    <row r="33" spans="1:6" ht="11.25">
      <c r="A33" s="217">
        <v>32</v>
      </c>
      <c r="B33" s="274" t="s">
        <v>110</v>
      </c>
      <c r="C33" s="274">
        <v>2005</v>
      </c>
      <c r="D33" s="274" t="s">
        <v>66</v>
      </c>
      <c r="E33" s="280">
        <v>39</v>
      </c>
      <c r="F33" s="271">
        <v>1</v>
      </c>
    </row>
    <row r="34" spans="1:6" ht="11.25">
      <c r="A34" s="217">
        <v>33</v>
      </c>
      <c r="B34" s="274" t="s">
        <v>111</v>
      </c>
      <c r="C34" s="274">
        <v>2004</v>
      </c>
      <c r="D34" s="274" t="s">
        <v>66</v>
      </c>
      <c r="E34" s="280">
        <v>41</v>
      </c>
      <c r="F34" s="272">
        <v>1</v>
      </c>
    </row>
    <row r="35" spans="1:6" ht="11.25">
      <c r="A35" s="217">
        <v>34</v>
      </c>
      <c r="B35" s="156" t="s">
        <v>112</v>
      </c>
      <c r="C35" s="156">
        <v>2004</v>
      </c>
      <c r="D35" s="156" t="s">
        <v>66</v>
      </c>
      <c r="E35" s="280">
        <v>42</v>
      </c>
      <c r="F35" s="271">
        <v>1</v>
      </c>
    </row>
    <row r="36" spans="1:6" ht="11.25">
      <c r="A36" s="217">
        <v>35</v>
      </c>
      <c r="B36" s="99" t="s">
        <v>115</v>
      </c>
      <c r="C36" s="99">
        <v>2005</v>
      </c>
      <c r="D36" s="99" t="s">
        <v>86</v>
      </c>
      <c r="E36" s="280">
        <v>50</v>
      </c>
      <c r="F36" s="272">
        <v>1</v>
      </c>
    </row>
    <row r="37" spans="1:6" ht="11.25">
      <c r="A37" s="217">
        <v>36</v>
      </c>
      <c r="B37" s="142" t="s">
        <v>116</v>
      </c>
      <c r="C37" s="142">
        <v>2003</v>
      </c>
      <c r="D37" s="276" t="s">
        <v>117</v>
      </c>
      <c r="E37" s="280">
        <v>50</v>
      </c>
      <c r="F37" s="272">
        <v>1</v>
      </c>
    </row>
    <row r="38" spans="1:6" ht="11.25">
      <c r="A38" s="217">
        <v>37</v>
      </c>
      <c r="B38" s="274" t="s">
        <v>118</v>
      </c>
      <c r="C38" s="274">
        <v>2004</v>
      </c>
      <c r="D38" s="274" t="s">
        <v>117</v>
      </c>
      <c r="E38" s="280">
        <v>50</v>
      </c>
      <c r="F38" s="272">
        <v>1</v>
      </c>
    </row>
    <row r="39" spans="1:6" ht="11.25">
      <c r="A39" s="217">
        <v>38</v>
      </c>
      <c r="B39" s="274" t="s">
        <v>120</v>
      </c>
      <c r="C39" s="274">
        <v>2003</v>
      </c>
      <c r="D39" s="274" t="s">
        <v>82</v>
      </c>
      <c r="E39" s="280">
        <v>50</v>
      </c>
      <c r="F39" s="272">
        <v>1</v>
      </c>
    </row>
    <row r="40" spans="1:6" ht="11.25">
      <c r="A40" s="217">
        <v>39</v>
      </c>
      <c r="B40" s="274" t="s">
        <v>119</v>
      </c>
      <c r="C40" s="274">
        <v>2002</v>
      </c>
      <c r="D40" s="274" t="s">
        <v>61</v>
      </c>
      <c r="E40" s="280">
        <v>50</v>
      </c>
      <c r="F40" s="272">
        <v>1</v>
      </c>
    </row>
    <row r="41" ht="11.25">
      <c r="E41" s="277"/>
    </row>
  </sheetData>
  <sheetProtection/>
  <mergeCells count="1">
    <mergeCell ref="I1:L6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landscape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view="pageBreakPreview" zoomScale="115" zoomScaleSheetLayoutView="115" zoomScalePageLayoutView="0" workbookViewId="0" topLeftCell="A1">
      <selection activeCell="F12" sqref="F12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29.375" style="0" customWidth="1"/>
    <col min="4" max="4" width="0.875" style="0" customWidth="1"/>
    <col min="5" max="8" width="19.375" style="0" customWidth="1"/>
  </cols>
  <sheetData>
    <row r="1" spans="1:8" ht="20.25">
      <c r="A1" s="3"/>
      <c r="B1" s="2"/>
      <c r="C1" s="3"/>
      <c r="D1" s="3"/>
      <c r="E1" s="3"/>
      <c r="F1" s="3"/>
      <c r="G1" s="3"/>
      <c r="H1" s="54" t="s">
        <v>353</v>
      </c>
    </row>
    <row r="2" spans="1:8" ht="15">
      <c r="A2" s="3"/>
      <c r="B2" s="5"/>
      <c r="C2" s="3"/>
      <c r="D2" s="3"/>
      <c r="E2" s="3"/>
      <c r="F2" s="3"/>
      <c r="G2" s="3"/>
      <c r="H2" s="97">
        <v>41336</v>
      </c>
    </row>
    <row r="3" spans="1:8" ht="15.75">
      <c r="A3" s="3"/>
      <c r="B3" s="3"/>
      <c r="C3" s="3"/>
      <c r="D3" s="5"/>
      <c r="E3" s="3"/>
      <c r="F3" s="3"/>
      <c r="G3" s="3"/>
      <c r="H3" s="151"/>
    </row>
    <row r="4" spans="1:8" ht="12.75">
      <c r="A4" s="3">
        <v>1</v>
      </c>
      <c r="B4" s="268">
        <v>1</v>
      </c>
      <c r="C4" s="44" t="s">
        <v>122</v>
      </c>
      <c r="D4" s="3"/>
      <c r="E4" s="3"/>
      <c r="F4" s="3"/>
      <c r="G4" s="3"/>
      <c r="H4" s="3"/>
    </row>
    <row r="5" spans="1:8" ht="12.75">
      <c r="A5" s="3"/>
      <c r="B5" s="3"/>
      <c r="C5" s="3"/>
      <c r="D5" s="45"/>
      <c r="E5" s="44" t="s">
        <v>77</v>
      </c>
      <c r="F5" s="3"/>
      <c r="G5" s="3"/>
      <c r="H5" s="3"/>
    </row>
    <row r="6" spans="1:8" ht="12.75">
      <c r="A6" s="3">
        <v>2</v>
      </c>
      <c r="B6" s="268"/>
      <c r="C6" s="44" t="s">
        <v>125</v>
      </c>
      <c r="D6" s="46"/>
      <c r="E6" s="47" t="s">
        <v>124</v>
      </c>
      <c r="F6" s="3"/>
      <c r="G6" s="3"/>
      <c r="H6" s="3"/>
    </row>
    <row r="7" spans="1:8" ht="12.75">
      <c r="A7" s="3"/>
      <c r="B7" s="3"/>
      <c r="C7" s="3"/>
      <c r="D7" s="7"/>
      <c r="E7" s="48"/>
      <c r="F7" s="55" t="s">
        <v>77</v>
      </c>
      <c r="G7" s="3"/>
      <c r="H7" s="3"/>
    </row>
    <row r="8" spans="1:8" ht="12.75">
      <c r="A8" s="3">
        <v>3</v>
      </c>
      <c r="B8" s="268">
        <v>22</v>
      </c>
      <c r="C8" s="44" t="s">
        <v>144</v>
      </c>
      <c r="D8" s="50"/>
      <c r="E8" s="48"/>
      <c r="F8" s="47" t="s">
        <v>354</v>
      </c>
      <c r="G8" s="3"/>
      <c r="H8" s="3"/>
    </row>
    <row r="9" spans="1:8" ht="12.75">
      <c r="A9" s="3"/>
      <c r="B9" s="3"/>
      <c r="C9" s="3"/>
      <c r="D9" s="45"/>
      <c r="E9" s="51" t="s">
        <v>76</v>
      </c>
      <c r="F9" s="48"/>
      <c r="G9" s="3"/>
      <c r="H9" s="3"/>
    </row>
    <row r="10" spans="1:8" ht="12.75">
      <c r="A10" s="3">
        <v>4</v>
      </c>
      <c r="B10" s="268">
        <v>7</v>
      </c>
      <c r="C10" s="44" t="s">
        <v>159</v>
      </c>
      <c r="D10" s="46"/>
      <c r="E10" s="3" t="s">
        <v>355</v>
      </c>
      <c r="F10" s="48"/>
      <c r="G10" s="3"/>
      <c r="H10" s="3"/>
    </row>
    <row r="11" spans="1:8" ht="12.75">
      <c r="A11" s="3"/>
      <c r="B11" s="3"/>
      <c r="C11" s="3"/>
      <c r="D11" s="7"/>
      <c r="E11" s="3"/>
      <c r="F11" s="48"/>
      <c r="G11" s="55" t="s">
        <v>87</v>
      </c>
      <c r="H11" s="3"/>
    </row>
    <row r="12" spans="1:8" ht="12.75">
      <c r="A12" s="3">
        <v>5</v>
      </c>
      <c r="B12" s="268">
        <v>10</v>
      </c>
      <c r="C12" s="44" t="s">
        <v>151</v>
      </c>
      <c r="D12" s="50"/>
      <c r="E12" s="3"/>
      <c r="F12" s="48"/>
      <c r="G12" s="47" t="s">
        <v>324</v>
      </c>
      <c r="H12" s="3"/>
    </row>
    <row r="13" spans="1:8" ht="12.75">
      <c r="A13" s="3"/>
      <c r="B13" s="3"/>
      <c r="C13" s="3"/>
      <c r="D13" s="45"/>
      <c r="E13" s="44" t="s">
        <v>67</v>
      </c>
      <c r="F13" s="48"/>
      <c r="G13" s="48"/>
      <c r="H13" s="3"/>
    </row>
    <row r="14" spans="1:8" ht="12.75">
      <c r="A14" s="3">
        <v>6</v>
      </c>
      <c r="B14" s="268"/>
      <c r="C14" s="44" t="s">
        <v>125</v>
      </c>
      <c r="D14" s="46"/>
      <c r="E14" s="47" t="s">
        <v>124</v>
      </c>
      <c r="F14" s="48"/>
      <c r="G14" s="48"/>
      <c r="H14" s="3"/>
    </row>
    <row r="15" spans="1:8" ht="12.75">
      <c r="A15" s="3"/>
      <c r="B15" s="3"/>
      <c r="C15" s="3"/>
      <c r="D15" s="7"/>
      <c r="E15" s="48"/>
      <c r="F15" s="56" t="s">
        <v>87</v>
      </c>
      <c r="G15" s="48"/>
      <c r="H15" s="3"/>
    </row>
    <row r="16" spans="1:8" ht="12.75">
      <c r="A16" s="3">
        <v>7</v>
      </c>
      <c r="B16" s="268"/>
      <c r="C16" s="44" t="s">
        <v>125</v>
      </c>
      <c r="D16" s="50"/>
      <c r="E16" s="48"/>
      <c r="F16" s="3" t="s">
        <v>356</v>
      </c>
      <c r="G16" s="48"/>
      <c r="H16" s="3"/>
    </row>
    <row r="17" spans="1:8" ht="12.75">
      <c r="A17" s="3"/>
      <c r="B17" s="3"/>
      <c r="C17" s="3"/>
      <c r="D17" s="45"/>
      <c r="E17" s="51" t="s">
        <v>87</v>
      </c>
      <c r="F17" s="3"/>
      <c r="G17" s="48"/>
      <c r="H17" s="3"/>
    </row>
    <row r="18" spans="1:8" ht="12.75">
      <c r="A18" s="3">
        <v>8</v>
      </c>
      <c r="B18" s="268">
        <v>5</v>
      </c>
      <c r="C18" s="44" t="s">
        <v>148</v>
      </c>
      <c r="D18" s="46"/>
      <c r="E18" s="3" t="s">
        <v>124</v>
      </c>
      <c r="F18" s="3"/>
      <c r="G18" s="48"/>
      <c r="H18" s="3"/>
    </row>
    <row r="19" spans="1:8" ht="12.75">
      <c r="A19" s="3"/>
      <c r="B19" s="3"/>
      <c r="C19" s="3"/>
      <c r="D19" s="7"/>
      <c r="E19" s="3"/>
      <c r="F19" s="3"/>
      <c r="G19" s="3"/>
      <c r="H19" s="49" t="s">
        <v>90</v>
      </c>
    </row>
    <row r="20" spans="1:8" ht="12.75">
      <c r="A20" s="3">
        <v>9</v>
      </c>
      <c r="B20" s="268">
        <v>6</v>
      </c>
      <c r="C20" s="44" t="s">
        <v>150</v>
      </c>
      <c r="D20" s="50"/>
      <c r="E20" s="3"/>
      <c r="F20" s="52"/>
      <c r="G20" s="3"/>
      <c r="H20" s="152" t="s">
        <v>325</v>
      </c>
    </row>
    <row r="21" spans="1:8" ht="12.75">
      <c r="A21" s="3"/>
      <c r="B21" s="3"/>
      <c r="C21" s="3"/>
      <c r="D21" s="45"/>
      <c r="E21" s="44" t="s">
        <v>88</v>
      </c>
      <c r="F21" s="3"/>
      <c r="G21" s="48"/>
      <c r="H21" s="48"/>
    </row>
    <row r="22" spans="1:8" ht="12.75">
      <c r="A22" s="3">
        <v>10</v>
      </c>
      <c r="B22" s="268"/>
      <c r="C22" s="44" t="s">
        <v>125</v>
      </c>
      <c r="D22" s="46"/>
      <c r="E22" s="47" t="s">
        <v>124</v>
      </c>
      <c r="F22" s="3"/>
      <c r="G22" s="48"/>
      <c r="H22" s="48"/>
    </row>
    <row r="23" spans="1:8" ht="12.75">
      <c r="A23" s="3"/>
      <c r="B23" s="3"/>
      <c r="C23" s="3"/>
      <c r="D23" s="7"/>
      <c r="E23" s="48"/>
      <c r="F23" s="55" t="s">
        <v>75</v>
      </c>
      <c r="G23" s="48"/>
      <c r="H23" s="48"/>
    </row>
    <row r="24" spans="1:8" ht="12.75">
      <c r="A24" s="3">
        <v>11</v>
      </c>
      <c r="B24" s="268"/>
      <c r="C24" s="44" t="s">
        <v>125</v>
      </c>
      <c r="D24" s="50"/>
      <c r="E24" s="48"/>
      <c r="F24" s="47" t="s">
        <v>357</v>
      </c>
      <c r="G24" s="48"/>
      <c r="H24" s="48"/>
    </row>
    <row r="25" spans="1:8" ht="12.75">
      <c r="A25" s="3"/>
      <c r="B25" s="3"/>
      <c r="C25" s="3"/>
      <c r="D25" s="45"/>
      <c r="E25" s="51" t="s">
        <v>75</v>
      </c>
      <c r="F25" s="48"/>
      <c r="G25" s="48"/>
      <c r="H25" s="48"/>
    </row>
    <row r="26" spans="1:8" ht="12.75">
      <c r="A26" s="3">
        <v>12</v>
      </c>
      <c r="B26" s="268">
        <v>11</v>
      </c>
      <c r="C26" s="44" t="s">
        <v>137</v>
      </c>
      <c r="D26" s="46"/>
      <c r="E26" s="3" t="s">
        <v>124</v>
      </c>
      <c r="F26" s="48"/>
      <c r="G26" s="48"/>
      <c r="H26" s="48"/>
    </row>
    <row r="27" spans="1:8" ht="12.75">
      <c r="A27" s="3"/>
      <c r="B27" s="3"/>
      <c r="C27" s="3"/>
      <c r="D27" s="7"/>
      <c r="E27" s="3"/>
      <c r="F27" s="48"/>
      <c r="G27" s="56" t="s">
        <v>90</v>
      </c>
      <c r="H27" s="48"/>
    </row>
    <row r="28" spans="1:8" ht="12.75">
      <c r="A28" s="3">
        <v>13</v>
      </c>
      <c r="B28" s="268">
        <v>23</v>
      </c>
      <c r="C28" s="44" t="s">
        <v>142</v>
      </c>
      <c r="D28" s="50"/>
      <c r="E28" s="3"/>
      <c r="F28" s="48"/>
      <c r="G28" s="3" t="s">
        <v>326</v>
      </c>
      <c r="H28" s="48"/>
    </row>
    <row r="29" spans="1:8" ht="12.75">
      <c r="A29" s="3"/>
      <c r="B29" s="3"/>
      <c r="C29" s="3"/>
      <c r="D29" s="45"/>
      <c r="E29" s="44" t="s">
        <v>69</v>
      </c>
      <c r="F29" s="48"/>
      <c r="G29" s="3"/>
      <c r="H29" s="48"/>
    </row>
    <row r="30" spans="1:8" ht="12.75">
      <c r="A30" s="3">
        <v>14</v>
      </c>
      <c r="B30" s="268">
        <v>13</v>
      </c>
      <c r="C30" s="44" t="s">
        <v>163</v>
      </c>
      <c r="D30" s="46"/>
      <c r="E30" s="47" t="s">
        <v>358</v>
      </c>
      <c r="F30" s="48"/>
      <c r="G30" s="3"/>
      <c r="H30" s="48"/>
    </row>
    <row r="31" spans="1:8" ht="12.75">
      <c r="A31" s="3"/>
      <c r="B31" s="159"/>
      <c r="C31" s="3"/>
      <c r="D31" s="7"/>
      <c r="E31" s="48"/>
      <c r="F31" s="56" t="s">
        <v>90</v>
      </c>
      <c r="G31" s="3"/>
      <c r="H31" s="48"/>
    </row>
    <row r="32" spans="1:8" ht="12.75">
      <c r="A32" s="3">
        <v>15</v>
      </c>
      <c r="B32" s="268"/>
      <c r="C32" s="44" t="s">
        <v>125</v>
      </c>
      <c r="D32" s="50"/>
      <c r="E32" s="48"/>
      <c r="F32" s="3" t="s">
        <v>359</v>
      </c>
      <c r="G32" s="3"/>
      <c r="H32" s="48"/>
    </row>
    <row r="33" spans="1:8" ht="12.75">
      <c r="A33" s="3"/>
      <c r="B33" s="3"/>
      <c r="C33" s="3"/>
      <c r="D33" s="45"/>
      <c r="E33" s="51" t="s">
        <v>90</v>
      </c>
      <c r="F33" s="3"/>
      <c r="G33" s="3"/>
      <c r="H33" s="48"/>
    </row>
    <row r="34" spans="1:8" ht="12.75">
      <c r="A34" s="3">
        <v>16</v>
      </c>
      <c r="B34" s="268">
        <v>4</v>
      </c>
      <c r="C34" s="44" t="s">
        <v>179</v>
      </c>
      <c r="D34" s="46"/>
      <c r="E34" s="3" t="s">
        <v>124</v>
      </c>
      <c r="F34" s="3"/>
      <c r="G34" s="3"/>
      <c r="H34" s="48"/>
    </row>
    <row r="35" spans="1:8" ht="12.75">
      <c r="A35" s="3"/>
      <c r="B35" s="3"/>
      <c r="C35" s="3"/>
      <c r="D35" s="3"/>
      <c r="E35" s="3"/>
      <c r="F35" s="3"/>
      <c r="G35" s="3"/>
      <c r="H35" s="58" t="s">
        <v>85</v>
      </c>
    </row>
    <row r="36" spans="1:8" ht="12.75">
      <c r="A36" s="3">
        <v>17</v>
      </c>
      <c r="B36" s="268">
        <v>3</v>
      </c>
      <c r="C36" s="44" t="s">
        <v>178</v>
      </c>
      <c r="D36" s="3"/>
      <c r="E36" s="3"/>
      <c r="F36" s="3"/>
      <c r="G36" s="3"/>
      <c r="H36" s="47" t="s">
        <v>327</v>
      </c>
    </row>
    <row r="37" spans="1:8" ht="12.75">
      <c r="A37" s="3"/>
      <c r="B37" s="3"/>
      <c r="C37" s="3"/>
      <c r="D37" s="45"/>
      <c r="E37" s="44" t="s">
        <v>83</v>
      </c>
      <c r="F37" s="3"/>
      <c r="G37" s="3"/>
      <c r="H37" s="48"/>
    </row>
    <row r="38" spans="1:8" ht="12.75">
      <c r="A38" s="3">
        <v>18</v>
      </c>
      <c r="B38" s="268"/>
      <c r="C38" s="44" t="s">
        <v>125</v>
      </c>
      <c r="D38" s="46"/>
      <c r="E38" s="47" t="s">
        <v>124</v>
      </c>
      <c r="F38" s="3"/>
      <c r="G38" s="3"/>
      <c r="H38" s="48"/>
    </row>
    <row r="39" spans="1:8" ht="12.75">
      <c r="A39" s="3"/>
      <c r="B39" s="3"/>
      <c r="C39" s="3"/>
      <c r="D39" s="7"/>
      <c r="E39" s="48"/>
      <c r="F39" s="55" t="s">
        <v>83</v>
      </c>
      <c r="G39" s="3"/>
      <c r="H39" s="48"/>
    </row>
    <row r="40" spans="1:8" ht="12.75">
      <c r="A40" s="3">
        <v>19</v>
      </c>
      <c r="B40" s="268">
        <v>16</v>
      </c>
      <c r="C40" s="44" t="s">
        <v>132</v>
      </c>
      <c r="D40" s="50"/>
      <c r="E40" s="48"/>
      <c r="F40" s="47" t="s">
        <v>360</v>
      </c>
      <c r="G40" s="3"/>
      <c r="H40" s="48"/>
    </row>
    <row r="41" spans="1:8" ht="12.75">
      <c r="A41" s="3"/>
      <c r="B41" s="3"/>
      <c r="C41" s="3"/>
      <c r="D41" s="45"/>
      <c r="E41" s="51" t="s">
        <v>68</v>
      </c>
      <c r="F41" s="48"/>
      <c r="G41" s="3"/>
      <c r="H41" s="48"/>
    </row>
    <row r="42" spans="1:8" ht="12.75">
      <c r="A42" s="3">
        <v>20</v>
      </c>
      <c r="B42" s="268">
        <v>15</v>
      </c>
      <c r="C42" s="44" t="s">
        <v>164</v>
      </c>
      <c r="D42" s="46"/>
      <c r="E42" s="3" t="s">
        <v>361</v>
      </c>
      <c r="F42" s="48"/>
      <c r="G42" s="3"/>
      <c r="H42" s="48"/>
    </row>
    <row r="43" spans="1:8" ht="12.75">
      <c r="A43" s="3"/>
      <c r="B43" s="3"/>
      <c r="C43" s="3"/>
      <c r="D43" s="7"/>
      <c r="E43" s="3"/>
      <c r="F43" s="48"/>
      <c r="G43" s="55" t="s">
        <v>113</v>
      </c>
      <c r="H43" s="48"/>
    </row>
    <row r="44" spans="1:8" ht="12.75">
      <c r="A44" s="3">
        <v>21</v>
      </c>
      <c r="B44" s="268">
        <v>14</v>
      </c>
      <c r="C44" s="44" t="s">
        <v>166</v>
      </c>
      <c r="D44" s="50"/>
      <c r="E44" s="3"/>
      <c r="F44" s="48"/>
      <c r="G44" s="47" t="s">
        <v>328</v>
      </c>
      <c r="H44" s="48"/>
    </row>
    <row r="45" spans="1:8" ht="12.75">
      <c r="A45" s="3"/>
      <c r="B45" s="3"/>
      <c r="C45" s="3"/>
      <c r="D45" s="45"/>
      <c r="E45" s="44" t="s">
        <v>79</v>
      </c>
      <c r="F45" s="48"/>
      <c r="G45" s="48"/>
      <c r="H45" s="48"/>
    </row>
    <row r="46" spans="1:8" ht="12.75">
      <c r="A46" s="3">
        <v>22</v>
      </c>
      <c r="B46" s="268"/>
      <c r="C46" s="44" t="s">
        <v>125</v>
      </c>
      <c r="D46" s="46"/>
      <c r="E46" s="47" t="s">
        <v>124</v>
      </c>
      <c r="F46" s="48"/>
      <c r="G46" s="48"/>
      <c r="H46" s="48"/>
    </row>
    <row r="47" spans="1:8" ht="12.75">
      <c r="A47" s="3"/>
      <c r="B47" s="3"/>
      <c r="C47" s="3"/>
      <c r="D47" s="7"/>
      <c r="E47" s="48"/>
      <c r="F47" s="56" t="s">
        <v>113</v>
      </c>
      <c r="G47" s="48"/>
      <c r="H47" s="48"/>
    </row>
    <row r="48" spans="1:8" ht="12.75">
      <c r="A48" s="3">
        <v>23</v>
      </c>
      <c r="B48" s="268"/>
      <c r="C48" s="44" t="s">
        <v>125</v>
      </c>
      <c r="D48" s="50"/>
      <c r="E48" s="48"/>
      <c r="F48" s="3" t="s">
        <v>362</v>
      </c>
      <c r="G48" s="48"/>
      <c r="H48" s="48"/>
    </row>
    <row r="49" spans="1:8" ht="12.75">
      <c r="A49" s="3"/>
      <c r="B49" s="3"/>
      <c r="C49" s="3"/>
      <c r="D49" s="45"/>
      <c r="E49" s="51" t="s">
        <v>113</v>
      </c>
      <c r="F49" s="3"/>
      <c r="G49" s="48"/>
      <c r="H49" s="48"/>
    </row>
    <row r="50" spans="1:8" ht="12.75">
      <c r="A50" s="3">
        <v>24</v>
      </c>
      <c r="B50" s="268">
        <v>8</v>
      </c>
      <c r="C50" s="44" t="s">
        <v>149</v>
      </c>
      <c r="D50" s="46"/>
      <c r="E50" s="3" t="s">
        <v>124</v>
      </c>
      <c r="F50" s="3"/>
      <c r="G50" s="48"/>
      <c r="H50" s="48"/>
    </row>
    <row r="51" spans="1:8" ht="12.75">
      <c r="A51" s="3"/>
      <c r="B51" s="3"/>
      <c r="C51" s="3"/>
      <c r="D51" s="7"/>
      <c r="E51" s="3"/>
      <c r="F51" s="3"/>
      <c r="G51" s="3"/>
      <c r="H51" s="53" t="s">
        <v>85</v>
      </c>
    </row>
    <row r="52" spans="1:8" ht="12.75">
      <c r="A52" s="3">
        <v>25</v>
      </c>
      <c r="B52" s="268">
        <v>9</v>
      </c>
      <c r="C52" s="44" t="s">
        <v>136</v>
      </c>
      <c r="D52" s="50"/>
      <c r="E52" s="3"/>
      <c r="F52" s="3"/>
      <c r="G52" s="3"/>
      <c r="H52" s="153" t="s">
        <v>329</v>
      </c>
    </row>
    <row r="53" spans="1:8" ht="12.75">
      <c r="A53" s="3"/>
      <c r="B53" s="159"/>
      <c r="C53" s="3"/>
      <c r="D53" s="45"/>
      <c r="E53" s="44" t="s">
        <v>93</v>
      </c>
      <c r="F53" s="3"/>
      <c r="G53" s="48"/>
      <c r="H53" s="3"/>
    </row>
    <row r="54" spans="1:8" ht="12.75">
      <c r="A54" s="3">
        <v>26</v>
      </c>
      <c r="B54" s="268"/>
      <c r="C54" s="44" t="s">
        <v>125</v>
      </c>
      <c r="D54" s="46"/>
      <c r="E54" s="47" t="s">
        <v>124</v>
      </c>
      <c r="F54" s="3"/>
      <c r="G54" s="48"/>
      <c r="H54" s="3"/>
    </row>
    <row r="55" spans="1:8" ht="12.75">
      <c r="A55" s="3"/>
      <c r="B55" s="3"/>
      <c r="C55" s="3"/>
      <c r="D55" s="7"/>
      <c r="E55" s="48"/>
      <c r="F55" s="55" t="s">
        <v>93</v>
      </c>
      <c r="G55" s="48"/>
      <c r="H55" s="3"/>
    </row>
    <row r="56" spans="1:8" ht="12.75">
      <c r="A56" s="3">
        <v>27</v>
      </c>
      <c r="B56" s="268"/>
      <c r="C56" s="44" t="s">
        <v>125</v>
      </c>
      <c r="D56" s="50"/>
      <c r="E56" s="48"/>
      <c r="F56" s="47" t="s">
        <v>363</v>
      </c>
      <c r="G56" s="48"/>
      <c r="H56" s="3"/>
    </row>
    <row r="57" spans="1:8" ht="12.75">
      <c r="A57" s="3"/>
      <c r="B57" s="3"/>
      <c r="C57" s="3"/>
      <c r="D57" s="45"/>
      <c r="E57" s="51" t="s">
        <v>94</v>
      </c>
      <c r="F57" s="48"/>
      <c r="G57" s="48"/>
      <c r="H57" s="3"/>
    </row>
    <row r="58" spans="1:8" ht="12.75">
      <c r="A58" s="3">
        <v>28</v>
      </c>
      <c r="B58" s="268">
        <v>12</v>
      </c>
      <c r="C58" s="44" t="s">
        <v>165</v>
      </c>
      <c r="D58" s="46"/>
      <c r="E58" s="3" t="s">
        <v>124</v>
      </c>
      <c r="F58" s="48"/>
      <c r="G58" s="48"/>
      <c r="H58" s="3"/>
    </row>
    <row r="59" spans="1:8" ht="12.75">
      <c r="A59" s="3"/>
      <c r="B59" s="3"/>
      <c r="C59" s="3"/>
      <c r="D59" s="7"/>
      <c r="E59" s="3"/>
      <c r="F59" s="48"/>
      <c r="G59" s="56" t="s">
        <v>85</v>
      </c>
      <c r="H59" s="3"/>
    </row>
    <row r="60" spans="1:8" ht="12.75">
      <c r="A60" s="3">
        <v>29</v>
      </c>
      <c r="B60" s="268">
        <v>21</v>
      </c>
      <c r="C60" s="44" t="s">
        <v>170</v>
      </c>
      <c r="D60" s="50"/>
      <c r="E60" s="3"/>
      <c r="F60" s="48"/>
      <c r="G60" s="3" t="s">
        <v>330</v>
      </c>
      <c r="H60" s="3"/>
    </row>
    <row r="61" spans="1:8" ht="12.75">
      <c r="A61" s="3"/>
      <c r="B61" s="3"/>
      <c r="C61" s="3"/>
      <c r="D61" s="45"/>
      <c r="E61" s="44" t="s">
        <v>80</v>
      </c>
      <c r="F61" s="48"/>
      <c r="G61" s="3"/>
      <c r="H61" s="3"/>
    </row>
    <row r="62" spans="1:8" ht="12.75">
      <c r="A62" s="3">
        <v>30</v>
      </c>
      <c r="B62" s="268">
        <v>24</v>
      </c>
      <c r="C62" s="44" t="s">
        <v>160</v>
      </c>
      <c r="D62" s="46"/>
      <c r="E62" s="47" t="s">
        <v>364</v>
      </c>
      <c r="F62" s="48"/>
      <c r="G62" s="3"/>
      <c r="H62" s="3"/>
    </row>
    <row r="63" spans="1:8" ht="12.75">
      <c r="A63" s="3"/>
      <c r="B63" s="3"/>
      <c r="C63" s="3"/>
      <c r="D63" s="7"/>
      <c r="E63" s="48"/>
      <c r="F63" s="56" t="s">
        <v>85</v>
      </c>
      <c r="G63" s="3"/>
      <c r="H63" s="3"/>
    </row>
    <row r="64" spans="1:8" ht="12.75">
      <c r="A64" s="3">
        <v>31</v>
      </c>
      <c r="B64" s="268"/>
      <c r="C64" s="44" t="s">
        <v>125</v>
      </c>
      <c r="D64" s="50"/>
      <c r="E64" s="48"/>
      <c r="F64" s="3" t="s">
        <v>365</v>
      </c>
      <c r="G64" s="3"/>
      <c r="H64" s="3"/>
    </row>
    <row r="65" spans="1:8" ht="12.75">
      <c r="A65" s="3"/>
      <c r="B65" s="3"/>
      <c r="C65" s="3"/>
      <c r="D65" s="45"/>
      <c r="E65" s="51" t="s">
        <v>85</v>
      </c>
      <c r="F65" s="3"/>
      <c r="G65" s="3"/>
      <c r="H65" s="3"/>
    </row>
    <row r="66" spans="1:8" ht="12.75">
      <c r="A66" s="3">
        <v>32</v>
      </c>
      <c r="B66" s="268">
        <v>2</v>
      </c>
      <c r="C66" s="44" t="s">
        <v>123</v>
      </c>
      <c r="D66" s="46"/>
      <c r="E66" s="3" t="s">
        <v>124</v>
      </c>
      <c r="F66" s="3"/>
      <c r="G66" s="3"/>
      <c r="H66" s="3"/>
    </row>
  </sheetData>
  <sheetProtection/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2"/>
  <sheetViews>
    <sheetView view="pageBreakPreview" zoomScaleNormal="90" zoomScaleSheetLayoutView="100" zoomScalePageLayoutView="0" workbookViewId="0" topLeftCell="A52">
      <selection activeCell="H65" sqref="H65"/>
    </sheetView>
  </sheetViews>
  <sheetFormatPr defaultColWidth="11.625" defaultRowHeight="12.75"/>
  <cols>
    <col min="1" max="3" width="3.75390625" style="66" customWidth="1"/>
    <col min="4" max="4" width="28.125" style="66" customWidth="1"/>
    <col min="5" max="5" width="3.75390625" style="66" customWidth="1"/>
    <col min="6" max="6" width="23.375" style="66" customWidth="1"/>
    <col min="7" max="7" width="20.375" style="66" customWidth="1"/>
    <col min="8" max="8" width="17.875" style="66" customWidth="1"/>
    <col min="9" max="9" width="16.25390625" style="66" customWidth="1"/>
    <col min="10" max="16384" width="11.625" style="66" customWidth="1"/>
  </cols>
  <sheetData>
    <row r="1" spans="1:8" ht="21">
      <c r="A1" s="64"/>
      <c r="B1" s="65"/>
      <c r="C1" s="64"/>
      <c r="D1" s="64"/>
      <c r="E1" s="64"/>
      <c r="F1" s="64"/>
      <c r="G1" s="64"/>
      <c r="H1" s="54" t="s">
        <v>323</v>
      </c>
    </row>
    <row r="2" spans="1:8" ht="20.25">
      <c r="A2" s="64"/>
      <c r="B2" s="67"/>
      <c r="C2" s="64"/>
      <c r="D2" s="86" t="s">
        <v>26</v>
      </c>
      <c r="E2" s="64"/>
      <c r="F2" s="68"/>
      <c r="G2" s="64"/>
      <c r="H2" s="97">
        <v>41336</v>
      </c>
    </row>
    <row r="3" spans="1:8" ht="13.5">
      <c r="A3" s="64"/>
      <c r="B3" s="64"/>
      <c r="C3" s="64"/>
      <c r="D3" s="69"/>
      <c r="E3" s="64"/>
      <c r="F3" s="64"/>
      <c r="G3" s="64"/>
      <c r="H3" s="70"/>
    </row>
    <row r="4" spans="1:8" ht="12.75">
      <c r="A4" s="64"/>
      <c r="B4" s="81"/>
      <c r="C4" s="81"/>
      <c r="D4" s="81"/>
      <c r="E4" s="64"/>
      <c r="F4" s="64"/>
      <c r="G4" s="64"/>
      <c r="H4" s="64"/>
    </row>
    <row r="5" spans="1:8" ht="12.75">
      <c r="A5" s="64"/>
      <c r="B5" s="169">
        <v>1</v>
      </c>
      <c r="C5" s="96"/>
      <c r="D5" s="44" t="s">
        <v>122</v>
      </c>
      <c r="E5" s="71"/>
      <c r="F5" s="64"/>
      <c r="G5" s="64"/>
      <c r="H5" s="64"/>
    </row>
    <row r="6" spans="1:8" ht="12.75">
      <c r="A6" s="64"/>
      <c r="B6" s="81"/>
      <c r="C6" s="96"/>
      <c r="D6" s="82"/>
      <c r="E6" s="72"/>
      <c r="F6" s="64"/>
      <c r="G6" s="64"/>
      <c r="H6" s="64"/>
    </row>
    <row r="7" spans="1:8" ht="12.75">
      <c r="A7" s="64"/>
      <c r="B7" s="81"/>
      <c r="C7" s="96"/>
      <c r="D7" s="82"/>
      <c r="E7" s="160"/>
      <c r="F7" s="44" t="s">
        <v>87</v>
      </c>
      <c r="G7" s="64"/>
      <c r="H7" s="64"/>
    </row>
    <row r="8" spans="1:8" ht="12.75">
      <c r="A8" s="64"/>
      <c r="B8" s="81"/>
      <c r="C8" s="96"/>
      <c r="D8" s="82"/>
      <c r="E8" s="74"/>
      <c r="F8" s="72" t="s">
        <v>324</v>
      </c>
      <c r="G8" s="64"/>
      <c r="H8" s="64"/>
    </row>
    <row r="9" spans="1:8" ht="12.75">
      <c r="A9" s="64"/>
      <c r="B9" s="169">
        <v>5</v>
      </c>
      <c r="C9" s="96"/>
      <c r="D9" s="44" t="s">
        <v>148</v>
      </c>
      <c r="E9" s="75"/>
      <c r="F9" s="74"/>
      <c r="G9" s="64"/>
      <c r="H9" s="64"/>
    </row>
    <row r="10" spans="1:8" ht="12.75">
      <c r="A10" s="64"/>
      <c r="B10" s="81"/>
      <c r="C10" s="96"/>
      <c r="D10" s="82"/>
      <c r="E10" s="64"/>
      <c r="F10" s="74"/>
      <c r="G10" s="64"/>
      <c r="H10" s="64"/>
    </row>
    <row r="11" spans="1:8" ht="12.75">
      <c r="A11" s="64"/>
      <c r="B11" s="81"/>
      <c r="C11" s="96"/>
      <c r="D11" s="82"/>
      <c r="E11" s="81"/>
      <c r="F11" s="74"/>
      <c r="G11" s="44" t="s">
        <v>90</v>
      </c>
      <c r="H11" s="64"/>
    </row>
    <row r="12" spans="1:8" ht="12.75">
      <c r="A12" s="64"/>
      <c r="B12" s="81"/>
      <c r="C12" s="96"/>
      <c r="D12" s="82"/>
      <c r="E12" s="64"/>
      <c r="F12" s="74"/>
      <c r="G12" s="76" t="s">
        <v>325</v>
      </c>
      <c r="H12" s="64"/>
    </row>
    <row r="13" spans="1:8" ht="12.75">
      <c r="A13" s="64"/>
      <c r="B13" s="169">
        <v>11</v>
      </c>
      <c r="C13" s="96"/>
      <c r="D13" s="44" t="s">
        <v>137</v>
      </c>
      <c r="E13" s="71"/>
      <c r="F13" s="74"/>
      <c r="G13" s="74"/>
      <c r="H13" s="64"/>
    </row>
    <row r="14" spans="1:8" ht="12.75">
      <c r="A14" s="64"/>
      <c r="B14" s="81"/>
      <c r="C14" s="96"/>
      <c r="D14" s="82"/>
      <c r="E14" s="72"/>
      <c r="F14" s="74"/>
      <c r="G14" s="74"/>
      <c r="H14" s="64"/>
    </row>
    <row r="15" spans="1:8" ht="12.75">
      <c r="A15" s="64"/>
      <c r="B15" s="81"/>
      <c r="C15" s="96"/>
      <c r="D15" s="82"/>
      <c r="E15" s="160"/>
      <c r="F15" s="44" t="s">
        <v>90</v>
      </c>
      <c r="G15" s="89"/>
      <c r="H15" s="64"/>
    </row>
    <row r="16" spans="1:8" ht="12.75">
      <c r="A16" s="64"/>
      <c r="B16" s="81"/>
      <c r="C16" s="96"/>
      <c r="D16" s="82"/>
      <c r="E16" s="74"/>
      <c r="F16" s="64" t="s">
        <v>326</v>
      </c>
      <c r="G16" s="74"/>
      <c r="H16" s="64"/>
    </row>
    <row r="17" spans="1:8" ht="12.75">
      <c r="A17" s="64"/>
      <c r="B17" s="169">
        <v>4</v>
      </c>
      <c r="C17" s="96"/>
      <c r="D17" s="44" t="s">
        <v>179</v>
      </c>
      <c r="E17" s="75"/>
      <c r="F17" s="64"/>
      <c r="G17" s="74"/>
      <c r="H17" s="64"/>
    </row>
    <row r="18" spans="1:8" ht="12.75">
      <c r="A18" s="64"/>
      <c r="B18" s="81"/>
      <c r="C18" s="96"/>
      <c r="D18" s="82"/>
      <c r="E18" s="64"/>
      <c r="F18" s="64"/>
      <c r="G18" s="74"/>
      <c r="H18" s="64"/>
    </row>
    <row r="19" spans="1:8" ht="12.75">
      <c r="A19" s="64"/>
      <c r="B19" s="81"/>
      <c r="C19" s="96"/>
      <c r="D19" s="82"/>
      <c r="E19" s="81"/>
      <c r="F19" s="64"/>
      <c r="G19" s="74"/>
      <c r="H19" s="44" t="s">
        <v>85</v>
      </c>
    </row>
    <row r="20" spans="1:8" ht="12.75">
      <c r="A20" s="64"/>
      <c r="B20" s="81"/>
      <c r="C20" s="96"/>
      <c r="D20" s="82"/>
      <c r="E20" s="64"/>
      <c r="F20" s="64"/>
      <c r="G20" s="74"/>
      <c r="H20" s="95" t="s">
        <v>30</v>
      </c>
    </row>
    <row r="21" spans="1:8" ht="12.75">
      <c r="A21" s="64"/>
      <c r="B21" s="169">
        <v>3</v>
      </c>
      <c r="C21" s="96"/>
      <c r="D21" s="44" t="s">
        <v>178</v>
      </c>
      <c r="E21" s="71"/>
      <c r="F21" s="64"/>
      <c r="G21" s="74"/>
      <c r="H21" s="64" t="s">
        <v>327</v>
      </c>
    </row>
    <row r="22" spans="1:8" ht="12.75">
      <c r="A22" s="64"/>
      <c r="B22" s="81"/>
      <c r="C22" s="96"/>
      <c r="D22" s="82"/>
      <c r="E22" s="72"/>
      <c r="F22" s="64"/>
      <c r="G22" s="74"/>
      <c r="H22" s="64"/>
    </row>
    <row r="23" spans="1:8" ht="12.75">
      <c r="A23" s="64"/>
      <c r="B23" s="81"/>
      <c r="C23" s="96"/>
      <c r="D23" s="82"/>
      <c r="E23" s="160"/>
      <c r="F23" s="44" t="s">
        <v>113</v>
      </c>
      <c r="G23" s="74"/>
      <c r="H23" s="64"/>
    </row>
    <row r="24" spans="1:8" ht="12.75">
      <c r="A24" s="64"/>
      <c r="B24" s="81"/>
      <c r="C24" s="96"/>
      <c r="D24" s="82"/>
      <c r="E24" s="74"/>
      <c r="F24" s="72" t="s">
        <v>328</v>
      </c>
      <c r="G24" s="74"/>
      <c r="H24" s="64"/>
    </row>
    <row r="25" spans="1:8" ht="12.75">
      <c r="A25" s="64"/>
      <c r="B25" s="169">
        <v>8</v>
      </c>
      <c r="C25" s="96"/>
      <c r="D25" s="44" t="s">
        <v>149</v>
      </c>
      <c r="E25" s="75"/>
      <c r="F25" s="74"/>
      <c r="G25" s="74"/>
      <c r="H25" s="64"/>
    </row>
    <row r="26" spans="1:8" ht="12.75">
      <c r="A26" s="64"/>
      <c r="B26" s="81"/>
      <c r="C26" s="96"/>
      <c r="D26" s="82"/>
      <c r="E26" s="64"/>
      <c r="F26" s="74"/>
      <c r="G26" s="74"/>
      <c r="H26" s="64"/>
    </row>
    <row r="27" spans="1:8" ht="12.75">
      <c r="A27" s="64"/>
      <c r="B27" s="81"/>
      <c r="C27" s="96"/>
      <c r="D27" s="82"/>
      <c r="E27" s="81"/>
      <c r="F27" s="74"/>
      <c r="G27" s="44" t="s">
        <v>85</v>
      </c>
      <c r="H27" s="88"/>
    </row>
    <row r="28" spans="1:8" ht="12.75">
      <c r="A28" s="64"/>
      <c r="B28" s="81"/>
      <c r="C28" s="96"/>
      <c r="D28" s="82"/>
      <c r="E28" s="64"/>
      <c r="F28" s="74"/>
      <c r="G28" s="77" t="s">
        <v>329</v>
      </c>
      <c r="H28" s="64"/>
    </row>
    <row r="29" spans="1:8" ht="12.75">
      <c r="A29" s="64"/>
      <c r="B29" s="169">
        <v>9</v>
      </c>
      <c r="C29" s="96"/>
      <c r="D29" s="44" t="s">
        <v>136</v>
      </c>
      <c r="E29" s="71"/>
      <c r="F29" s="74"/>
      <c r="G29" s="64"/>
      <c r="H29" s="64"/>
    </row>
    <row r="30" spans="1:8" ht="15.75">
      <c r="A30" s="64"/>
      <c r="B30" s="81"/>
      <c r="C30" s="96"/>
      <c r="D30" s="82"/>
      <c r="E30" s="72"/>
      <c r="F30" s="74"/>
      <c r="G30" s="64"/>
      <c r="H30" s="78" t="s">
        <v>27</v>
      </c>
    </row>
    <row r="31" spans="1:8" ht="12.75">
      <c r="A31" s="64"/>
      <c r="B31" s="81"/>
      <c r="C31" s="96"/>
      <c r="D31" s="82"/>
      <c r="E31" s="160"/>
      <c r="F31" s="44" t="s">
        <v>85</v>
      </c>
      <c r="G31" s="88"/>
      <c r="H31" s="64">
        <v>5</v>
      </c>
    </row>
    <row r="32" spans="1:8" ht="12.75">
      <c r="A32" s="64"/>
      <c r="B32" s="81"/>
      <c r="C32" s="96"/>
      <c r="D32" s="82"/>
      <c r="E32" s="74"/>
      <c r="F32" s="64" t="s">
        <v>330</v>
      </c>
      <c r="G32" s="161" t="s">
        <v>28</v>
      </c>
      <c r="H32" s="44" t="s">
        <v>148</v>
      </c>
    </row>
    <row r="33" spans="1:8" ht="12.75">
      <c r="A33" s="64"/>
      <c r="B33" s="169">
        <v>2</v>
      </c>
      <c r="C33" s="96"/>
      <c r="D33" s="44" t="s">
        <v>123</v>
      </c>
      <c r="E33" s="71"/>
      <c r="F33" s="162"/>
      <c r="G33" s="92" t="s">
        <v>113</v>
      </c>
      <c r="H33" s="79">
        <v>8</v>
      </c>
    </row>
    <row r="34" spans="1:8" ht="12.75">
      <c r="A34" s="64"/>
      <c r="B34" s="81"/>
      <c r="C34" s="81"/>
      <c r="D34" s="82"/>
      <c r="E34" s="64"/>
      <c r="F34" s="64"/>
      <c r="G34" s="171" t="s">
        <v>331</v>
      </c>
      <c r="H34" s="44" t="s">
        <v>149</v>
      </c>
    </row>
    <row r="35" spans="1:8" ht="12.75">
      <c r="A35" s="64"/>
      <c r="B35" s="64"/>
      <c r="C35" s="64"/>
      <c r="D35" s="64"/>
      <c r="E35" s="64"/>
      <c r="F35" s="64"/>
      <c r="G35" s="64"/>
      <c r="H35" s="64"/>
    </row>
    <row r="36" spans="1:8" ht="12.75">
      <c r="A36" s="64"/>
      <c r="B36" s="64"/>
      <c r="C36" s="64"/>
      <c r="D36" s="64"/>
      <c r="E36" s="64"/>
      <c r="F36" s="64"/>
      <c r="G36" s="64"/>
      <c r="H36" s="64"/>
    </row>
    <row r="37" spans="1:8" ht="15.75">
      <c r="A37" s="64"/>
      <c r="B37" s="64"/>
      <c r="C37" s="64"/>
      <c r="D37" s="64"/>
      <c r="E37" s="64"/>
      <c r="G37" s="78"/>
      <c r="H37" s="64"/>
    </row>
    <row r="38" spans="1:8" ht="15.75">
      <c r="A38" s="64"/>
      <c r="B38" s="64"/>
      <c r="C38" s="64"/>
      <c r="D38" s="64"/>
      <c r="E38" s="64"/>
      <c r="F38" s="78" t="s">
        <v>29</v>
      </c>
      <c r="G38" s="78"/>
      <c r="H38" s="78"/>
    </row>
    <row r="39" spans="1:8" ht="12.75">
      <c r="A39" s="64"/>
      <c r="B39" s="64"/>
      <c r="C39" s="64"/>
      <c r="D39" s="64"/>
      <c r="E39" s="167">
        <v>1</v>
      </c>
      <c r="F39" s="44" t="s">
        <v>122</v>
      </c>
      <c r="G39" s="64"/>
      <c r="H39" s="64"/>
    </row>
    <row r="40" spans="1:8" ht="12.75">
      <c r="A40" s="64"/>
      <c r="B40" s="64"/>
      <c r="C40" s="64"/>
      <c r="D40" s="64"/>
      <c r="E40" s="64"/>
      <c r="F40" s="72"/>
      <c r="G40" s="64"/>
      <c r="H40" s="64"/>
    </row>
    <row r="41" spans="1:8" ht="12.75">
      <c r="A41" s="64"/>
      <c r="B41" s="64"/>
      <c r="C41" s="64"/>
      <c r="D41" s="64"/>
      <c r="E41" s="64"/>
      <c r="F41" s="74"/>
      <c r="G41" s="64"/>
      <c r="H41" s="64"/>
    </row>
    <row r="42" spans="1:8" ht="12.75">
      <c r="A42" s="64"/>
      <c r="B42" s="64"/>
      <c r="C42" s="64"/>
      <c r="D42" s="64"/>
      <c r="E42" s="64"/>
      <c r="F42" s="74"/>
      <c r="G42" s="64"/>
      <c r="H42" s="64"/>
    </row>
    <row r="43" spans="1:8" ht="12.75">
      <c r="A43" s="64"/>
      <c r="B43" s="64"/>
      <c r="C43" s="64"/>
      <c r="D43" s="64"/>
      <c r="E43" s="81"/>
      <c r="F43" s="74"/>
      <c r="G43" s="44" t="s">
        <v>77</v>
      </c>
      <c r="H43" s="64"/>
    </row>
    <row r="44" spans="1:8" ht="12.75">
      <c r="A44" s="64"/>
      <c r="B44" s="64"/>
      <c r="C44" s="64"/>
      <c r="D44" s="64"/>
      <c r="E44" s="64"/>
      <c r="F44" s="74"/>
      <c r="G44" s="163" t="s">
        <v>332</v>
      </c>
      <c r="H44" s="64"/>
    </row>
    <row r="45" spans="1:8" ht="12.75">
      <c r="A45" s="64"/>
      <c r="B45" s="64"/>
      <c r="C45" s="64"/>
      <c r="D45" s="64"/>
      <c r="E45" s="64"/>
      <c r="F45" s="74"/>
      <c r="G45" s="74"/>
      <c r="H45" s="64"/>
    </row>
    <row r="46" spans="1:8" ht="12.75">
      <c r="A46" s="64"/>
      <c r="B46" s="64"/>
      <c r="C46" s="64"/>
      <c r="D46" s="64"/>
      <c r="E46" s="64"/>
      <c r="F46" s="74"/>
      <c r="G46" s="74"/>
      <c r="H46" s="64"/>
    </row>
    <row r="47" spans="1:8" ht="12.75">
      <c r="A47" s="64"/>
      <c r="B47" s="64"/>
      <c r="C47" s="64"/>
      <c r="D47" s="64"/>
      <c r="E47" s="168">
        <v>11</v>
      </c>
      <c r="F47" s="44" t="s">
        <v>137</v>
      </c>
      <c r="G47" s="89"/>
      <c r="H47" s="64"/>
    </row>
    <row r="48" spans="1:8" ht="12.75">
      <c r="A48" s="64"/>
      <c r="B48" s="64"/>
      <c r="C48" s="64"/>
      <c r="D48" s="64"/>
      <c r="E48" s="64"/>
      <c r="F48" s="64"/>
      <c r="G48" s="74"/>
      <c r="H48" s="64"/>
    </row>
    <row r="49" spans="1:8" ht="12.75">
      <c r="A49" s="64"/>
      <c r="B49" s="64"/>
      <c r="C49" s="64"/>
      <c r="D49" s="64"/>
      <c r="E49" s="64"/>
      <c r="F49" s="64"/>
      <c r="G49" s="74"/>
      <c r="H49" s="64"/>
    </row>
    <row r="50" spans="1:8" ht="12.75">
      <c r="A50" s="64"/>
      <c r="B50" s="64"/>
      <c r="C50" s="64"/>
      <c r="D50" s="64"/>
      <c r="E50" s="64"/>
      <c r="F50" s="64"/>
      <c r="G50" s="74"/>
      <c r="H50" s="64"/>
    </row>
    <row r="51" spans="1:8" ht="12.75">
      <c r="A51" s="64"/>
      <c r="B51" s="64"/>
      <c r="C51" s="64"/>
      <c r="D51" s="64"/>
      <c r="E51" s="81"/>
      <c r="F51" s="64"/>
      <c r="G51" s="90"/>
      <c r="H51" s="44" t="s">
        <v>83</v>
      </c>
    </row>
    <row r="52" spans="1:8" ht="12.75">
      <c r="A52" s="64"/>
      <c r="B52" s="64"/>
      <c r="C52" s="64"/>
      <c r="D52" s="64"/>
      <c r="E52" s="64"/>
      <c r="F52" s="81"/>
      <c r="G52" s="87"/>
      <c r="H52" s="93" t="s">
        <v>31</v>
      </c>
    </row>
    <row r="53" spans="1:8" ht="12.75">
      <c r="A53" s="64"/>
      <c r="B53" s="64"/>
      <c r="C53" s="64"/>
      <c r="D53" s="64"/>
      <c r="E53" s="64"/>
      <c r="F53" s="64"/>
      <c r="G53" s="74"/>
      <c r="H53" s="64" t="s">
        <v>333</v>
      </c>
    </row>
    <row r="54" spans="1:8" ht="12.75">
      <c r="A54" s="64"/>
      <c r="B54" s="64"/>
      <c r="C54" s="64"/>
      <c r="D54" s="64"/>
      <c r="E54" s="64"/>
      <c r="F54" s="64"/>
      <c r="G54" s="74"/>
      <c r="H54" s="64"/>
    </row>
    <row r="55" spans="1:8" ht="12.75">
      <c r="A55" s="64"/>
      <c r="B55" s="64"/>
      <c r="C55" s="64"/>
      <c r="D55" s="64"/>
      <c r="E55" s="167">
        <v>3</v>
      </c>
      <c r="F55" s="44" t="s">
        <v>178</v>
      </c>
      <c r="G55" s="74"/>
      <c r="H55" s="64"/>
    </row>
    <row r="56" spans="1:8" ht="12.75">
      <c r="A56" s="64"/>
      <c r="B56" s="64"/>
      <c r="C56" s="64"/>
      <c r="D56" s="64"/>
      <c r="E56" s="64"/>
      <c r="F56" s="72"/>
      <c r="G56" s="74"/>
      <c r="H56" s="64"/>
    </row>
    <row r="57" spans="1:8" ht="12.75">
      <c r="A57" s="64"/>
      <c r="B57" s="64"/>
      <c r="C57" s="64"/>
      <c r="D57" s="64"/>
      <c r="E57" s="64"/>
      <c r="F57" s="74"/>
      <c r="G57" s="74"/>
      <c r="H57" s="64"/>
    </row>
    <row r="58" spans="1:8" ht="12.75">
      <c r="A58" s="64"/>
      <c r="B58" s="64"/>
      <c r="C58" s="64"/>
      <c r="D58" s="64"/>
      <c r="E58" s="64"/>
      <c r="F58" s="74"/>
      <c r="G58" s="74"/>
      <c r="H58" s="64"/>
    </row>
    <row r="59" spans="1:8" ht="12.75">
      <c r="A59" s="64"/>
      <c r="B59" s="64"/>
      <c r="C59" s="64"/>
      <c r="D59" s="64"/>
      <c r="E59" s="81"/>
      <c r="F59" s="74"/>
      <c r="G59" s="44" t="s">
        <v>83</v>
      </c>
      <c r="H59" s="88"/>
    </row>
    <row r="60" spans="1:8" ht="12.75">
      <c r="A60" s="64"/>
      <c r="B60" s="64"/>
      <c r="C60" s="64"/>
      <c r="D60" s="64"/>
      <c r="E60" s="64"/>
      <c r="F60" s="74"/>
      <c r="G60" s="157" t="s">
        <v>334</v>
      </c>
      <c r="H60" s="64"/>
    </row>
    <row r="61" spans="1:8" ht="12.75">
      <c r="A61" s="64"/>
      <c r="B61" s="64"/>
      <c r="C61" s="64"/>
      <c r="D61" s="64"/>
      <c r="E61" s="64"/>
      <c r="F61" s="74"/>
      <c r="G61" s="64"/>
      <c r="H61" s="64"/>
    </row>
    <row r="62" spans="1:8" ht="12.75">
      <c r="A62" s="64"/>
      <c r="B62" s="64"/>
      <c r="C62" s="64"/>
      <c r="D62" s="64"/>
      <c r="E62" s="64"/>
      <c r="F62" s="74"/>
      <c r="G62" s="64"/>
      <c r="H62" s="64"/>
    </row>
    <row r="63" spans="1:8" ht="12.75">
      <c r="A63" s="64"/>
      <c r="B63" s="64"/>
      <c r="C63" s="64"/>
      <c r="D63" s="64"/>
      <c r="E63" s="168">
        <v>9</v>
      </c>
      <c r="F63" s="44" t="s">
        <v>136</v>
      </c>
      <c r="G63" s="88"/>
      <c r="H63" s="64"/>
    </row>
    <row r="64" spans="1:8" ht="15.75">
      <c r="A64" s="64"/>
      <c r="B64" s="64"/>
      <c r="C64" s="64"/>
      <c r="D64" s="64"/>
      <c r="E64" s="64"/>
      <c r="F64" s="64"/>
      <c r="G64" s="78" t="s">
        <v>33</v>
      </c>
      <c r="H64" s="64"/>
    </row>
    <row r="65" spans="1:8" ht="12.75">
      <c r="A65" s="64"/>
      <c r="B65" s="64"/>
      <c r="C65" s="64"/>
      <c r="D65" s="64"/>
      <c r="E65" s="167">
        <v>11</v>
      </c>
      <c r="F65" s="44" t="s">
        <v>137</v>
      </c>
      <c r="G65" s="64"/>
      <c r="H65" s="64"/>
    </row>
    <row r="66" spans="1:8" ht="12.75">
      <c r="A66" s="64"/>
      <c r="B66" s="64"/>
      <c r="C66" s="64"/>
      <c r="D66" s="64"/>
      <c r="E66" s="64"/>
      <c r="F66" s="72"/>
      <c r="G66" s="64"/>
      <c r="H66" s="64"/>
    </row>
    <row r="67" spans="1:8" ht="12.75">
      <c r="A67" s="64"/>
      <c r="B67" s="64"/>
      <c r="C67" s="64"/>
      <c r="D67" s="64"/>
      <c r="E67" s="64"/>
      <c r="F67" s="74"/>
      <c r="G67" s="64"/>
      <c r="H67" s="64"/>
    </row>
    <row r="68" spans="1:8" ht="12.75">
      <c r="A68" s="64"/>
      <c r="B68" s="64"/>
      <c r="C68" s="64"/>
      <c r="D68" s="64"/>
      <c r="E68" s="64"/>
      <c r="F68" s="74"/>
      <c r="G68" s="64"/>
      <c r="H68" s="64"/>
    </row>
    <row r="69" spans="1:8" ht="12.75">
      <c r="A69" s="64"/>
      <c r="B69" s="64"/>
      <c r="C69" s="64"/>
      <c r="D69" s="64"/>
      <c r="E69" s="81"/>
      <c r="F69" s="74"/>
      <c r="G69" s="44" t="s">
        <v>93</v>
      </c>
      <c r="H69" s="64"/>
    </row>
    <row r="70" spans="1:8" ht="12.75">
      <c r="A70" s="64"/>
      <c r="B70" s="64"/>
      <c r="C70" s="64"/>
      <c r="D70" s="64"/>
      <c r="E70" s="64"/>
      <c r="F70" s="74"/>
      <c r="G70" s="94" t="s">
        <v>32</v>
      </c>
      <c r="H70" s="64"/>
    </row>
    <row r="71" spans="1:8" ht="12.75">
      <c r="A71" s="64"/>
      <c r="B71" s="64"/>
      <c r="C71" s="64"/>
      <c r="D71" s="64"/>
      <c r="E71" s="64"/>
      <c r="F71" s="74"/>
      <c r="G71" s="81" t="s">
        <v>335</v>
      </c>
      <c r="H71" s="64"/>
    </row>
    <row r="72" spans="1:8" ht="12.75">
      <c r="A72" s="64"/>
      <c r="B72" s="64"/>
      <c r="C72" s="64"/>
      <c r="D72" s="64"/>
      <c r="E72" s="64"/>
      <c r="F72" s="74"/>
      <c r="G72" s="81"/>
      <c r="H72" s="64"/>
    </row>
    <row r="73" spans="1:8" ht="12.75">
      <c r="A73" s="64"/>
      <c r="B73" s="64"/>
      <c r="C73" s="64"/>
      <c r="D73" s="64"/>
      <c r="E73" s="168">
        <v>9</v>
      </c>
      <c r="F73" s="44" t="s">
        <v>136</v>
      </c>
      <c r="G73" s="88"/>
      <c r="H73" s="64"/>
    </row>
    <row r="74" spans="1:8" ht="12.75">
      <c r="A74" s="64"/>
      <c r="B74" s="64"/>
      <c r="C74" s="64"/>
      <c r="D74" s="64"/>
      <c r="E74" s="64"/>
      <c r="F74" s="52"/>
      <c r="G74" s="81"/>
      <c r="H74" s="64"/>
    </row>
    <row r="75" spans="1:8" ht="12.75">
      <c r="A75" s="64"/>
      <c r="B75" s="64"/>
      <c r="C75" s="64"/>
      <c r="D75" s="64"/>
      <c r="E75" s="64"/>
      <c r="F75" s="52"/>
      <c r="G75" s="81"/>
      <c r="H75" s="64"/>
    </row>
    <row r="76" spans="1:8" ht="21">
      <c r="A76" s="64"/>
      <c r="B76" s="65"/>
      <c r="C76" s="64"/>
      <c r="D76" s="64"/>
      <c r="E76" s="64"/>
      <c r="F76" s="64"/>
      <c r="G76" s="64"/>
      <c r="H76" s="54" t="s">
        <v>336</v>
      </c>
    </row>
    <row r="77" spans="1:8" ht="20.25" hidden="1">
      <c r="A77" s="64"/>
      <c r="B77" s="67"/>
      <c r="C77" s="64"/>
      <c r="D77" s="86" t="s">
        <v>34</v>
      </c>
      <c r="E77" s="64"/>
      <c r="F77" s="68"/>
      <c r="G77" s="64"/>
      <c r="H77" s="97">
        <v>41336</v>
      </c>
    </row>
    <row r="78" spans="1:8" ht="13.5" hidden="1">
      <c r="A78" s="64"/>
      <c r="B78" s="64"/>
      <c r="C78" s="64"/>
      <c r="D78" s="69"/>
      <c r="E78" s="64"/>
      <c r="F78" s="64"/>
      <c r="G78" s="64"/>
      <c r="H78" s="70"/>
    </row>
    <row r="79" spans="1:8" ht="12.75" hidden="1">
      <c r="A79" s="64"/>
      <c r="B79" s="81"/>
      <c r="C79" s="81"/>
      <c r="D79" s="81"/>
      <c r="E79" s="64"/>
      <c r="F79" s="64"/>
      <c r="G79" s="64"/>
      <c r="H79" s="64"/>
    </row>
    <row r="80" spans="1:8" ht="12.75">
      <c r="A80" s="64"/>
      <c r="B80" s="164">
        <v>7</v>
      </c>
      <c r="C80" s="96"/>
      <c r="D80" s="44" t="s">
        <v>159</v>
      </c>
      <c r="E80" s="71"/>
      <c r="F80" s="64"/>
      <c r="G80" s="64"/>
      <c r="H80" s="64"/>
    </row>
    <row r="81" spans="1:8" ht="12.75">
      <c r="A81" s="64"/>
      <c r="B81" s="81"/>
      <c r="C81" s="96"/>
      <c r="D81" s="82"/>
      <c r="E81" s="72"/>
      <c r="F81" s="64"/>
      <c r="G81" s="64"/>
      <c r="H81" s="64"/>
    </row>
    <row r="82" spans="1:8" ht="12.75">
      <c r="A82" s="64"/>
      <c r="B82" s="81"/>
      <c r="C82" s="96"/>
      <c r="D82" s="82"/>
      <c r="E82" s="160"/>
      <c r="F82" s="44" t="s">
        <v>67</v>
      </c>
      <c r="G82" s="64"/>
      <c r="H82" s="64"/>
    </row>
    <row r="83" spans="1:8" ht="12.75">
      <c r="A83" s="64"/>
      <c r="B83" s="81"/>
      <c r="C83" s="96"/>
      <c r="D83" s="82"/>
      <c r="E83" s="74"/>
      <c r="F83" s="72" t="s">
        <v>337</v>
      </c>
      <c r="G83" s="64"/>
      <c r="H83" s="64"/>
    </row>
    <row r="84" spans="1:8" ht="12.75">
      <c r="A84" s="64"/>
      <c r="B84" s="164">
        <v>10</v>
      </c>
      <c r="C84" s="96"/>
      <c r="D84" s="44" t="s">
        <v>151</v>
      </c>
      <c r="E84" s="75"/>
      <c r="F84" s="74"/>
      <c r="G84" s="64"/>
      <c r="H84" s="64"/>
    </row>
    <row r="85" spans="1:8" ht="12.75">
      <c r="A85" s="64"/>
      <c r="B85" s="81"/>
      <c r="C85" s="96"/>
      <c r="D85" s="82"/>
      <c r="E85" s="64"/>
      <c r="F85" s="74"/>
      <c r="G85" s="64"/>
      <c r="H85" s="64"/>
    </row>
    <row r="86" spans="1:8" ht="12.75">
      <c r="A86" s="64"/>
      <c r="B86" s="81"/>
      <c r="C86" s="96"/>
      <c r="D86" s="82"/>
      <c r="E86" s="81"/>
      <c r="F86" s="74"/>
      <c r="G86" s="44" t="s">
        <v>88</v>
      </c>
      <c r="H86" s="64"/>
    </row>
    <row r="87" spans="1:8" ht="12.75">
      <c r="A87" s="64"/>
      <c r="B87" s="81"/>
      <c r="C87" s="96"/>
      <c r="D87" s="82"/>
      <c r="E87" s="64"/>
      <c r="F87" s="74"/>
      <c r="G87" s="76" t="s">
        <v>338</v>
      </c>
      <c r="H87" s="64"/>
    </row>
    <row r="88" spans="1:8" ht="12.75">
      <c r="A88" s="64"/>
      <c r="B88" s="164">
        <v>6</v>
      </c>
      <c r="C88" s="96"/>
      <c r="D88" s="44" t="s">
        <v>150</v>
      </c>
      <c r="E88" s="71"/>
      <c r="F88" s="74"/>
      <c r="G88" s="74"/>
      <c r="H88" s="64"/>
    </row>
    <row r="89" spans="1:8" ht="12.75">
      <c r="A89" s="64"/>
      <c r="B89" s="81"/>
      <c r="C89" s="96"/>
      <c r="D89" s="82"/>
      <c r="E89" s="72"/>
      <c r="F89" s="74"/>
      <c r="G89" s="74"/>
      <c r="H89" s="64"/>
    </row>
    <row r="90" spans="1:8" ht="12.75">
      <c r="A90" s="64"/>
      <c r="B90" s="81"/>
      <c r="C90" s="96"/>
      <c r="D90" s="82"/>
      <c r="E90" s="160"/>
      <c r="F90" s="44" t="s">
        <v>88</v>
      </c>
      <c r="G90" s="89"/>
      <c r="H90" s="64"/>
    </row>
    <row r="91" spans="1:8" ht="12.75">
      <c r="A91" s="64"/>
      <c r="B91" s="81"/>
      <c r="C91" s="96"/>
      <c r="D91" s="82"/>
      <c r="E91" s="74"/>
      <c r="F91" s="64" t="s">
        <v>339</v>
      </c>
      <c r="G91" s="74"/>
      <c r="H91" s="64"/>
    </row>
    <row r="92" spans="1:8" ht="12.75">
      <c r="A92" s="64"/>
      <c r="B92" s="164">
        <v>13</v>
      </c>
      <c r="C92" s="96"/>
      <c r="D92" s="44" t="s">
        <v>163</v>
      </c>
      <c r="E92" s="75"/>
      <c r="F92" s="64"/>
      <c r="G92" s="74"/>
      <c r="H92" s="64"/>
    </row>
    <row r="93" spans="1:8" ht="12.75">
      <c r="A93" s="64"/>
      <c r="B93" s="81"/>
      <c r="C93" s="96"/>
      <c r="D93" s="82"/>
      <c r="E93" s="64"/>
      <c r="F93" s="64"/>
      <c r="G93" s="74"/>
      <c r="H93" s="64"/>
    </row>
    <row r="94" spans="1:8" ht="12.75">
      <c r="A94" s="64"/>
      <c r="B94" s="81"/>
      <c r="C94" s="96"/>
      <c r="D94" s="82"/>
      <c r="E94" s="81"/>
      <c r="F94" s="64"/>
      <c r="G94" s="74"/>
      <c r="H94" s="44" t="s">
        <v>88</v>
      </c>
    </row>
    <row r="95" spans="1:8" ht="12.75">
      <c r="A95" s="64"/>
      <c r="B95" s="81"/>
      <c r="C95" s="96"/>
      <c r="D95" s="82"/>
      <c r="E95" s="64"/>
      <c r="F95" s="64"/>
      <c r="G95" s="74"/>
      <c r="H95" s="95" t="s">
        <v>35</v>
      </c>
    </row>
    <row r="96" spans="1:8" ht="12.75">
      <c r="A96" s="64"/>
      <c r="B96" s="164">
        <v>15</v>
      </c>
      <c r="C96" s="96"/>
      <c r="D96" s="44" t="s">
        <v>164</v>
      </c>
      <c r="E96" s="71"/>
      <c r="F96" s="64"/>
      <c r="G96" s="74"/>
      <c r="H96" s="64" t="s">
        <v>141</v>
      </c>
    </row>
    <row r="97" spans="1:8" ht="12.75">
      <c r="A97" s="64"/>
      <c r="B97" s="81"/>
      <c r="C97" s="96"/>
      <c r="D97" s="82"/>
      <c r="E97" s="72"/>
      <c r="F97" s="64"/>
      <c r="G97" s="74"/>
      <c r="H97" s="64"/>
    </row>
    <row r="98" spans="1:8" ht="12.75">
      <c r="A98" s="64"/>
      <c r="B98" s="81"/>
      <c r="C98" s="96"/>
      <c r="D98" s="82"/>
      <c r="E98" s="160"/>
      <c r="F98" s="44" t="s">
        <v>79</v>
      </c>
      <c r="G98" s="74"/>
      <c r="H98" s="64"/>
    </row>
    <row r="99" spans="1:8" ht="12.75">
      <c r="A99" s="64"/>
      <c r="B99" s="81"/>
      <c r="C99" s="96"/>
      <c r="D99" s="82"/>
      <c r="E99" s="74"/>
      <c r="F99" s="72" t="s">
        <v>340</v>
      </c>
      <c r="G99" s="74"/>
      <c r="H99" s="64"/>
    </row>
    <row r="100" spans="1:8" ht="12.75">
      <c r="A100" s="64"/>
      <c r="B100" s="164">
        <v>14</v>
      </c>
      <c r="C100" s="96"/>
      <c r="D100" s="44" t="s">
        <v>166</v>
      </c>
      <c r="E100" s="75"/>
      <c r="F100" s="74"/>
      <c r="G100" s="74"/>
      <c r="H100" s="64"/>
    </row>
    <row r="101" spans="1:8" ht="12.75">
      <c r="A101" s="64"/>
      <c r="B101" s="81"/>
      <c r="C101" s="96"/>
      <c r="D101" s="82"/>
      <c r="E101" s="64"/>
      <c r="F101" s="74"/>
      <c r="G101" s="74"/>
      <c r="H101" s="64"/>
    </row>
    <row r="102" spans="1:8" ht="12.75">
      <c r="A102" s="64"/>
      <c r="B102" s="81"/>
      <c r="C102" s="96"/>
      <c r="D102" s="82"/>
      <c r="E102" s="81"/>
      <c r="F102" s="74"/>
      <c r="G102" s="44" t="s">
        <v>79</v>
      </c>
      <c r="H102" s="88"/>
    </row>
    <row r="103" spans="1:8" ht="12.75">
      <c r="A103" s="64"/>
      <c r="B103" s="81"/>
      <c r="C103" s="96"/>
      <c r="D103" s="82"/>
      <c r="E103" s="64"/>
      <c r="F103" s="74"/>
      <c r="G103" s="77" t="s">
        <v>341</v>
      </c>
      <c r="H103" s="64"/>
    </row>
    <row r="104" spans="1:8" ht="12.75">
      <c r="A104" s="64"/>
      <c r="B104" s="164">
        <v>12</v>
      </c>
      <c r="C104" s="96"/>
      <c r="D104" s="44" t="s">
        <v>165</v>
      </c>
      <c r="E104" s="71"/>
      <c r="F104" s="74"/>
      <c r="G104" s="64"/>
      <c r="H104" s="64"/>
    </row>
    <row r="105" spans="1:8" ht="15.75">
      <c r="A105" s="64"/>
      <c r="B105" s="81"/>
      <c r="C105" s="96"/>
      <c r="D105" s="82"/>
      <c r="E105" s="72"/>
      <c r="F105" s="74"/>
      <c r="G105" s="64"/>
      <c r="H105" s="78" t="s">
        <v>36</v>
      </c>
    </row>
    <row r="106" spans="1:8" ht="12.75">
      <c r="A106" s="64"/>
      <c r="B106" s="81"/>
      <c r="C106" s="96"/>
      <c r="D106" s="82"/>
      <c r="E106" s="160"/>
      <c r="F106" s="44" t="s">
        <v>80</v>
      </c>
      <c r="G106" s="88"/>
      <c r="H106" s="64">
        <v>10</v>
      </c>
    </row>
    <row r="107" spans="1:8" ht="12.75">
      <c r="A107" s="64"/>
      <c r="B107" s="81"/>
      <c r="C107" s="96"/>
      <c r="D107" s="82"/>
      <c r="E107" s="74"/>
      <c r="F107" s="64" t="s">
        <v>342</v>
      </c>
      <c r="G107" s="73" t="s">
        <v>37</v>
      </c>
      <c r="H107" s="44" t="s">
        <v>151</v>
      </c>
    </row>
    <row r="108" spans="1:8" ht="12.75">
      <c r="A108" s="64"/>
      <c r="B108" s="164">
        <v>24</v>
      </c>
      <c r="C108" s="96"/>
      <c r="D108" s="44" t="s">
        <v>160</v>
      </c>
      <c r="E108" s="71"/>
      <c r="F108" s="91"/>
      <c r="G108" s="92" t="s">
        <v>67</v>
      </c>
      <c r="H108" s="79">
        <v>24</v>
      </c>
    </row>
    <row r="109" spans="1:8" ht="12.75">
      <c r="A109" s="64"/>
      <c r="B109" s="81"/>
      <c r="C109" s="81"/>
      <c r="D109" s="82"/>
      <c r="E109" s="64"/>
      <c r="F109" s="64"/>
      <c r="G109" s="171" t="s">
        <v>343</v>
      </c>
      <c r="H109" s="44" t="s">
        <v>160</v>
      </c>
    </row>
    <row r="110" spans="1:8" ht="12.75">
      <c r="A110" s="64"/>
      <c r="B110" s="64"/>
      <c r="C110" s="64"/>
      <c r="D110" s="64"/>
      <c r="E110" s="64"/>
      <c r="F110" s="64"/>
      <c r="G110" s="64"/>
      <c r="H110" s="64"/>
    </row>
    <row r="111" spans="1:8" ht="12.75">
      <c r="A111" s="64"/>
      <c r="B111" s="64"/>
      <c r="C111" s="64"/>
      <c r="D111" s="64"/>
      <c r="E111" s="64"/>
      <c r="F111" s="64"/>
      <c r="G111" s="64"/>
      <c r="H111" s="64"/>
    </row>
    <row r="112" spans="1:8" ht="15.75">
      <c r="A112" s="64"/>
      <c r="B112" s="64"/>
      <c r="C112" s="64"/>
      <c r="D112" s="64"/>
      <c r="E112" s="64"/>
      <c r="G112" s="78"/>
      <c r="H112" s="64"/>
    </row>
    <row r="113" spans="1:8" ht="15.75">
      <c r="A113" s="64"/>
      <c r="B113" s="64"/>
      <c r="C113" s="64"/>
      <c r="D113" s="64"/>
      <c r="E113" s="64"/>
      <c r="F113" s="78" t="s">
        <v>38</v>
      </c>
      <c r="G113" s="78"/>
      <c r="H113" s="78"/>
    </row>
    <row r="114" spans="1:8" ht="12.75">
      <c r="A114" s="64"/>
      <c r="B114" s="64"/>
      <c r="C114" s="64"/>
      <c r="D114" s="64"/>
      <c r="E114" s="165">
        <v>7</v>
      </c>
      <c r="F114" s="44" t="s">
        <v>159</v>
      </c>
      <c r="G114" s="64"/>
      <c r="H114" s="64"/>
    </row>
    <row r="115" spans="1:8" ht="12.75">
      <c r="A115" s="64"/>
      <c r="B115" s="64"/>
      <c r="C115" s="64"/>
      <c r="D115" s="64"/>
      <c r="E115" s="64"/>
      <c r="F115" s="72"/>
      <c r="G115" s="64"/>
      <c r="H115" s="64"/>
    </row>
    <row r="116" spans="1:8" ht="12.75">
      <c r="A116" s="64"/>
      <c r="B116" s="64"/>
      <c r="C116" s="64"/>
      <c r="D116" s="64"/>
      <c r="E116" s="64"/>
      <c r="F116" s="74"/>
      <c r="G116" s="64"/>
      <c r="H116" s="64"/>
    </row>
    <row r="117" spans="1:8" ht="12.75">
      <c r="A117" s="64"/>
      <c r="B117" s="64"/>
      <c r="C117" s="64"/>
      <c r="D117" s="64"/>
      <c r="E117" s="64"/>
      <c r="F117" s="74"/>
      <c r="G117" s="64"/>
      <c r="H117" s="64"/>
    </row>
    <row r="118" spans="1:8" ht="12.75">
      <c r="A118" s="64"/>
      <c r="B118" s="64"/>
      <c r="C118" s="64"/>
      <c r="D118" s="64"/>
      <c r="E118" s="81"/>
      <c r="F118" s="74"/>
      <c r="G118" s="44" t="s">
        <v>69</v>
      </c>
      <c r="H118" s="64"/>
    </row>
    <row r="119" spans="1:8" ht="12.75">
      <c r="A119" s="64"/>
      <c r="B119" s="64"/>
      <c r="C119" s="64"/>
      <c r="D119" s="64"/>
      <c r="E119" s="64"/>
      <c r="F119" s="74"/>
      <c r="G119" s="158" t="s">
        <v>344</v>
      </c>
      <c r="H119" s="64"/>
    </row>
    <row r="120" spans="1:8" ht="12.75">
      <c r="A120" s="64"/>
      <c r="B120" s="64"/>
      <c r="C120" s="64"/>
      <c r="D120" s="64"/>
      <c r="E120" s="64"/>
      <c r="F120" s="74"/>
      <c r="G120" s="74"/>
      <c r="H120" s="64"/>
    </row>
    <row r="121" spans="1:8" ht="12.75">
      <c r="A121" s="64"/>
      <c r="B121" s="64"/>
      <c r="C121" s="64"/>
      <c r="D121" s="64"/>
      <c r="E121" s="64"/>
      <c r="F121" s="74"/>
      <c r="G121" s="74"/>
      <c r="H121" s="64"/>
    </row>
    <row r="122" spans="1:8" ht="12.75">
      <c r="A122" s="64"/>
      <c r="B122" s="64"/>
      <c r="C122" s="64"/>
      <c r="D122" s="64"/>
      <c r="E122" s="166">
        <v>13</v>
      </c>
      <c r="F122" s="44" t="s">
        <v>163</v>
      </c>
      <c r="G122" s="89"/>
      <c r="H122" s="64"/>
    </row>
    <row r="123" spans="1:8" ht="12.75">
      <c r="A123" s="64"/>
      <c r="B123" s="64"/>
      <c r="C123" s="64"/>
      <c r="D123" s="64"/>
      <c r="E123" s="64"/>
      <c r="F123" s="64"/>
      <c r="G123" s="74"/>
      <c r="H123" s="64"/>
    </row>
    <row r="124" spans="1:8" ht="12.75">
      <c r="A124" s="64"/>
      <c r="B124" s="64"/>
      <c r="C124" s="64"/>
      <c r="D124" s="64"/>
      <c r="E124" s="64"/>
      <c r="F124" s="64"/>
      <c r="G124" s="74"/>
      <c r="H124" s="64"/>
    </row>
    <row r="125" spans="1:8" ht="12.75">
      <c r="A125" s="64"/>
      <c r="B125" s="64"/>
      <c r="C125" s="64"/>
      <c r="D125" s="64"/>
      <c r="E125" s="64"/>
      <c r="F125" s="64"/>
      <c r="G125" s="74"/>
      <c r="H125" s="64"/>
    </row>
    <row r="126" spans="1:8" ht="12.75">
      <c r="A126" s="64"/>
      <c r="B126" s="64"/>
      <c r="C126" s="64"/>
      <c r="D126" s="64"/>
      <c r="E126" s="81"/>
      <c r="F126" s="64"/>
      <c r="G126" s="90"/>
      <c r="H126" s="155" t="s">
        <v>94</v>
      </c>
    </row>
    <row r="127" spans="1:8" ht="12.75">
      <c r="A127" s="64"/>
      <c r="B127" s="64"/>
      <c r="C127" s="64"/>
      <c r="D127" s="64"/>
      <c r="E127" s="64"/>
      <c r="F127" s="81"/>
      <c r="G127" s="87"/>
      <c r="H127" s="93" t="s">
        <v>39</v>
      </c>
    </row>
    <row r="128" spans="1:8" ht="12.75">
      <c r="A128" s="64"/>
      <c r="B128" s="64"/>
      <c r="C128" s="64"/>
      <c r="D128" s="64"/>
      <c r="E128" s="64"/>
      <c r="F128" s="64"/>
      <c r="G128" s="74"/>
      <c r="H128" s="64" t="s">
        <v>345</v>
      </c>
    </row>
    <row r="129" spans="1:8" ht="12.75">
      <c r="A129" s="64"/>
      <c r="B129" s="64"/>
      <c r="C129" s="64"/>
      <c r="D129" s="64"/>
      <c r="E129" s="64"/>
      <c r="F129" s="64"/>
      <c r="G129" s="74"/>
      <c r="H129" s="64"/>
    </row>
    <row r="130" spans="1:8" ht="12.75">
      <c r="A130" s="64"/>
      <c r="B130" s="64"/>
      <c r="C130" s="64"/>
      <c r="D130" s="64"/>
      <c r="E130" s="165">
        <v>15</v>
      </c>
      <c r="F130" s="44" t="s">
        <v>164</v>
      </c>
      <c r="G130" s="74"/>
      <c r="H130" s="64"/>
    </row>
    <row r="131" spans="1:8" ht="12.75">
      <c r="A131" s="64"/>
      <c r="B131" s="64"/>
      <c r="C131" s="64"/>
      <c r="D131" s="64"/>
      <c r="E131" s="64"/>
      <c r="F131" s="72"/>
      <c r="G131" s="74"/>
      <c r="H131" s="64"/>
    </row>
    <row r="132" spans="1:8" ht="12.75">
      <c r="A132" s="64"/>
      <c r="B132" s="64"/>
      <c r="C132" s="64"/>
      <c r="D132" s="64"/>
      <c r="E132" s="64"/>
      <c r="F132" s="74"/>
      <c r="G132" s="74"/>
      <c r="H132" s="64"/>
    </row>
    <row r="133" spans="1:8" ht="12.75">
      <c r="A133" s="64"/>
      <c r="B133" s="64"/>
      <c r="C133" s="64"/>
      <c r="D133" s="64"/>
      <c r="E133" s="64"/>
      <c r="F133" s="74"/>
      <c r="G133" s="74"/>
      <c r="H133" s="64"/>
    </row>
    <row r="134" spans="1:8" ht="12.75">
      <c r="A134" s="64"/>
      <c r="B134" s="64"/>
      <c r="C134" s="64"/>
      <c r="D134" s="64"/>
      <c r="E134" s="81"/>
      <c r="F134" s="74"/>
      <c r="G134" s="44" t="s">
        <v>94</v>
      </c>
      <c r="H134" s="88"/>
    </row>
    <row r="135" spans="1:8" ht="12.75">
      <c r="A135" s="64"/>
      <c r="B135" s="64"/>
      <c r="C135" s="64"/>
      <c r="D135" s="64"/>
      <c r="E135" s="64"/>
      <c r="F135" s="74"/>
      <c r="G135" s="157" t="s">
        <v>346</v>
      </c>
      <c r="H135" s="64"/>
    </row>
    <row r="136" spans="1:8" ht="12.75">
      <c r="A136" s="64"/>
      <c r="B136" s="64"/>
      <c r="C136" s="64"/>
      <c r="D136" s="64"/>
      <c r="E136" s="64"/>
      <c r="F136" s="74"/>
      <c r="G136" s="64"/>
      <c r="H136" s="64"/>
    </row>
    <row r="137" spans="1:8" ht="12.75">
      <c r="A137" s="64"/>
      <c r="B137" s="64"/>
      <c r="C137" s="64"/>
      <c r="D137" s="64"/>
      <c r="E137" s="64"/>
      <c r="F137" s="74"/>
      <c r="G137" s="64"/>
      <c r="H137" s="64"/>
    </row>
    <row r="138" spans="1:8" ht="12.75">
      <c r="A138" s="64"/>
      <c r="B138" s="64"/>
      <c r="C138" s="64"/>
      <c r="D138" s="64"/>
      <c r="E138" s="166">
        <v>12</v>
      </c>
      <c r="F138" s="44" t="s">
        <v>165</v>
      </c>
      <c r="G138" s="88"/>
      <c r="H138" s="64"/>
    </row>
    <row r="139" spans="1:8" ht="15.75">
      <c r="A139" s="64"/>
      <c r="B139" s="64"/>
      <c r="C139" s="64"/>
      <c r="D139" s="64"/>
      <c r="E139" s="64"/>
      <c r="F139" s="64"/>
      <c r="G139" s="78" t="s">
        <v>40</v>
      </c>
      <c r="H139" s="64"/>
    </row>
    <row r="140" spans="1:8" ht="12.75">
      <c r="A140" s="64"/>
      <c r="B140" s="64"/>
      <c r="C140" s="64"/>
      <c r="D140" s="64"/>
      <c r="E140" s="165">
        <v>7</v>
      </c>
      <c r="F140" s="44" t="s">
        <v>159</v>
      </c>
      <c r="G140" s="64"/>
      <c r="H140" s="64"/>
    </row>
    <row r="141" spans="1:8" ht="12.75">
      <c r="A141" s="64"/>
      <c r="B141" s="64"/>
      <c r="C141" s="64"/>
      <c r="D141" s="64"/>
      <c r="E141" s="64"/>
      <c r="F141" s="72"/>
      <c r="G141" s="64"/>
      <c r="H141" s="64"/>
    </row>
    <row r="142" spans="1:8" ht="12.75">
      <c r="A142" s="64"/>
      <c r="B142" s="64"/>
      <c r="C142" s="64"/>
      <c r="D142" s="64"/>
      <c r="E142" s="64"/>
      <c r="F142" s="74"/>
      <c r="G142" s="64"/>
      <c r="H142" s="64"/>
    </row>
    <row r="143" spans="1:8" ht="12.75">
      <c r="A143" s="64"/>
      <c r="B143" s="64"/>
      <c r="C143" s="64"/>
      <c r="D143" s="64"/>
      <c r="E143" s="64"/>
      <c r="F143" s="74"/>
      <c r="G143" s="64"/>
      <c r="H143" s="64"/>
    </row>
    <row r="144" spans="1:8" ht="12.75">
      <c r="A144" s="64"/>
      <c r="B144" s="64"/>
      <c r="C144" s="64"/>
      <c r="D144" s="64"/>
      <c r="E144" s="81"/>
      <c r="F144" s="74"/>
      <c r="G144" s="44" t="s">
        <v>76</v>
      </c>
      <c r="H144" s="64"/>
    </row>
    <row r="145" spans="1:8" ht="12.75">
      <c r="A145" s="64"/>
      <c r="B145" s="64"/>
      <c r="C145" s="64"/>
      <c r="D145" s="64"/>
      <c r="E145" s="64"/>
      <c r="F145" s="74"/>
      <c r="G145" s="94" t="s">
        <v>43</v>
      </c>
      <c r="H145" s="64"/>
    </row>
    <row r="146" spans="1:8" ht="12.75">
      <c r="A146" s="64"/>
      <c r="B146" s="64"/>
      <c r="C146" s="64"/>
      <c r="D146" s="64"/>
      <c r="E146" s="64"/>
      <c r="F146" s="74"/>
      <c r="G146" s="81" t="s">
        <v>347</v>
      </c>
      <c r="H146" s="64"/>
    </row>
    <row r="147" spans="1:8" ht="12.75">
      <c r="A147" s="64"/>
      <c r="B147" s="64"/>
      <c r="C147" s="64"/>
      <c r="D147" s="64"/>
      <c r="E147" s="64"/>
      <c r="F147" s="74"/>
      <c r="G147" s="81"/>
      <c r="H147" s="64"/>
    </row>
    <row r="148" spans="1:8" ht="12.75">
      <c r="A148" s="64"/>
      <c r="B148" s="64"/>
      <c r="C148" s="64"/>
      <c r="D148" s="64"/>
      <c r="E148" s="166">
        <v>15</v>
      </c>
      <c r="F148" s="44" t="s">
        <v>164</v>
      </c>
      <c r="G148" s="88"/>
      <c r="H148" s="64"/>
    </row>
    <row r="150" spans="1:8" ht="21">
      <c r="A150" s="64"/>
      <c r="B150" s="65"/>
      <c r="C150" s="64"/>
      <c r="D150" s="64"/>
      <c r="E150" s="64"/>
      <c r="F150" s="64"/>
      <c r="G150" s="64"/>
      <c r="H150" s="54" t="s">
        <v>352</v>
      </c>
    </row>
    <row r="151" spans="1:8" ht="20.25">
      <c r="A151" s="64"/>
      <c r="B151" s="67"/>
      <c r="C151" s="64"/>
      <c r="D151" s="86" t="s">
        <v>73</v>
      </c>
      <c r="E151" s="64"/>
      <c r="F151" s="68"/>
      <c r="G151" s="64"/>
      <c r="H151" s="97">
        <v>41336</v>
      </c>
    </row>
    <row r="152" spans="1:8" ht="13.5">
      <c r="A152" s="64"/>
      <c r="B152" s="64"/>
      <c r="C152" s="64"/>
      <c r="D152" s="69"/>
      <c r="E152" s="64"/>
      <c r="F152" s="64"/>
      <c r="G152" s="64"/>
      <c r="H152" s="70"/>
    </row>
    <row r="153" spans="1:8" ht="12.75">
      <c r="A153" s="64"/>
      <c r="B153" s="81"/>
      <c r="C153" s="81"/>
      <c r="D153" s="81"/>
      <c r="E153" s="64"/>
      <c r="F153" s="64"/>
      <c r="G153" s="64"/>
      <c r="H153" s="64"/>
    </row>
    <row r="154" spans="1:8" ht="12.75">
      <c r="A154" s="64"/>
      <c r="B154" s="170">
        <v>22</v>
      </c>
      <c r="C154" s="96"/>
      <c r="D154" s="44" t="s">
        <v>144</v>
      </c>
      <c r="E154" s="71"/>
      <c r="F154" s="64"/>
      <c r="G154" s="64"/>
      <c r="H154" s="64"/>
    </row>
    <row r="155" spans="1:8" ht="12.75">
      <c r="A155" s="64"/>
      <c r="B155" s="81"/>
      <c r="C155" s="96"/>
      <c r="D155" s="82"/>
      <c r="E155" s="72"/>
      <c r="F155" s="64"/>
      <c r="G155" s="64"/>
      <c r="H155" s="64"/>
    </row>
    <row r="156" spans="1:8" ht="12.75">
      <c r="A156" s="64"/>
      <c r="B156" s="81"/>
      <c r="C156" s="96"/>
      <c r="D156" s="82"/>
      <c r="E156" s="160"/>
      <c r="F156" s="44" t="s">
        <v>103</v>
      </c>
      <c r="G156" s="64"/>
      <c r="H156" s="64"/>
    </row>
    <row r="157" spans="1:8" ht="12.75">
      <c r="A157" s="64"/>
      <c r="B157" s="81"/>
      <c r="C157" s="96"/>
      <c r="D157" s="82"/>
      <c r="E157" s="74"/>
      <c r="F157" s="72" t="s">
        <v>348</v>
      </c>
      <c r="G157" s="64"/>
      <c r="H157" s="64"/>
    </row>
    <row r="158" spans="1:8" ht="12.75">
      <c r="A158" s="64"/>
      <c r="B158" s="170">
        <v>23</v>
      </c>
      <c r="C158" s="96"/>
      <c r="D158" s="44" t="s">
        <v>142</v>
      </c>
      <c r="E158" s="75"/>
      <c r="F158" s="74"/>
      <c r="G158" s="64"/>
      <c r="H158" s="64"/>
    </row>
    <row r="159" spans="1:8" ht="12.75">
      <c r="A159" s="64"/>
      <c r="B159" s="81"/>
      <c r="C159" s="96"/>
      <c r="D159" s="82"/>
      <c r="E159" s="64"/>
      <c r="F159" s="74"/>
      <c r="G159" s="64"/>
      <c r="H159" s="64"/>
    </row>
    <row r="160" spans="1:8" ht="12.75">
      <c r="A160" s="64"/>
      <c r="B160" s="81"/>
      <c r="C160" s="96"/>
      <c r="D160" s="82"/>
      <c r="E160" s="81"/>
      <c r="F160" s="74"/>
      <c r="G160" s="44" t="s">
        <v>95</v>
      </c>
      <c r="H160" s="64"/>
    </row>
    <row r="161" spans="1:8" ht="12.75">
      <c r="A161" s="64"/>
      <c r="B161" s="81"/>
      <c r="C161" s="96"/>
      <c r="D161" s="82"/>
      <c r="E161" s="64"/>
      <c r="F161" s="74"/>
      <c r="G161" s="285" t="s">
        <v>350</v>
      </c>
      <c r="H161" s="81"/>
    </row>
    <row r="162" spans="1:8" ht="12.75">
      <c r="A162" s="64"/>
      <c r="B162" s="170">
        <v>16</v>
      </c>
      <c r="C162" s="96"/>
      <c r="D162" s="44" t="s">
        <v>132</v>
      </c>
      <c r="E162" s="71"/>
      <c r="F162" s="74"/>
      <c r="G162" s="81"/>
      <c r="H162" s="81"/>
    </row>
    <row r="163" spans="1:8" ht="15.75">
      <c r="A163" s="64"/>
      <c r="B163" s="81"/>
      <c r="C163" s="96"/>
      <c r="D163" s="82"/>
      <c r="E163" s="72"/>
      <c r="F163" s="74"/>
      <c r="G163" s="64"/>
      <c r="H163" s="78" t="s">
        <v>41</v>
      </c>
    </row>
    <row r="164" spans="1:8" ht="12.75">
      <c r="A164" s="64"/>
      <c r="B164" s="81"/>
      <c r="C164" s="96"/>
      <c r="D164" s="82"/>
      <c r="E164" s="160"/>
      <c r="F164" s="44" t="s">
        <v>95</v>
      </c>
      <c r="G164" s="88"/>
      <c r="H164" s="64">
        <v>22</v>
      </c>
    </row>
    <row r="165" spans="1:8" ht="12.75">
      <c r="A165" s="64"/>
      <c r="B165" s="81"/>
      <c r="C165" s="96"/>
      <c r="D165" s="82"/>
      <c r="E165" s="74"/>
      <c r="F165" s="64" t="s">
        <v>349</v>
      </c>
      <c r="G165" s="73" t="s">
        <v>42</v>
      </c>
      <c r="H165" s="44" t="s">
        <v>144</v>
      </c>
    </row>
    <row r="166" spans="1:8" ht="12.75">
      <c r="A166" s="64"/>
      <c r="B166" s="170">
        <v>21</v>
      </c>
      <c r="C166" s="96"/>
      <c r="D166" s="44" t="s">
        <v>170</v>
      </c>
      <c r="E166" s="75"/>
      <c r="F166" s="64"/>
      <c r="G166" s="287" t="s">
        <v>102</v>
      </c>
      <c r="H166" s="79">
        <v>21</v>
      </c>
    </row>
    <row r="167" spans="1:8" ht="12.75">
      <c r="A167" s="64"/>
      <c r="B167" s="81"/>
      <c r="C167" s="96"/>
      <c r="D167" s="82"/>
      <c r="E167" s="64"/>
      <c r="F167" s="64"/>
      <c r="G167" s="286" t="s">
        <v>351</v>
      </c>
      <c r="H167" s="44" t="s">
        <v>170</v>
      </c>
    </row>
    <row r="258" ht="25.5" customHeight="1"/>
    <row r="274" ht="12.75">
      <c r="A274" s="84"/>
    </row>
    <row r="276" ht="12.75">
      <c r="A276" s="81"/>
    </row>
    <row r="277" ht="12.75">
      <c r="A277" s="81"/>
    </row>
    <row r="278" ht="12.75">
      <c r="A278" s="81"/>
    </row>
    <row r="279" ht="12.75">
      <c r="A279" s="80"/>
    </row>
    <row r="280" ht="12.75">
      <c r="A280" s="64"/>
    </row>
    <row r="281" ht="12.75">
      <c r="A281" s="64"/>
    </row>
    <row r="291" ht="84" customHeight="1"/>
    <row r="399" spans="1:6" ht="12.75">
      <c r="A399" s="81"/>
      <c r="B399" s="81"/>
      <c r="C399" s="81"/>
      <c r="D399" s="82"/>
      <c r="E399" s="83"/>
      <c r="F399" s="81"/>
    </row>
    <row r="400" spans="1:7" ht="12.75">
      <c r="A400" s="64"/>
      <c r="B400" s="64"/>
      <c r="C400" s="64"/>
      <c r="D400" s="73"/>
      <c r="E400" s="64"/>
      <c r="F400" s="64"/>
      <c r="G400" s="81"/>
    </row>
    <row r="401" spans="1:7" ht="15.75">
      <c r="A401" s="64"/>
      <c r="B401" s="64"/>
      <c r="C401" s="64"/>
      <c r="D401" s="64"/>
      <c r="F401" s="78"/>
      <c r="G401" s="78"/>
    </row>
    <row r="402" spans="1:7" ht="12.75">
      <c r="A402" s="64"/>
      <c r="B402" s="64"/>
      <c r="C402" s="64"/>
      <c r="D402" s="64"/>
      <c r="E402" s="81"/>
      <c r="F402" s="64"/>
      <c r="G402" s="64"/>
    </row>
    <row r="403" spans="1:7" ht="12.75">
      <c r="A403" s="64"/>
      <c r="B403" s="64"/>
      <c r="C403" s="64"/>
      <c r="D403" s="64"/>
      <c r="E403" s="81"/>
      <c r="F403" s="64"/>
      <c r="G403" s="64"/>
    </row>
    <row r="404" spans="1:7" ht="12.75">
      <c r="A404" s="64"/>
      <c r="B404" s="64"/>
      <c r="C404" s="64"/>
      <c r="D404" s="64"/>
      <c r="E404" s="81"/>
      <c r="F404" s="81"/>
      <c r="G404" s="64"/>
    </row>
    <row r="405" spans="1:7" ht="12.75">
      <c r="A405" s="64"/>
      <c r="B405" s="64"/>
      <c r="C405" s="64"/>
      <c r="D405" s="64"/>
      <c r="E405" s="81"/>
      <c r="F405" s="83"/>
      <c r="G405" s="64"/>
    </row>
    <row r="406" spans="1:7" ht="12.75">
      <c r="A406" s="64"/>
      <c r="B406" s="64"/>
      <c r="C406" s="64"/>
      <c r="D406" s="64"/>
      <c r="E406" s="81"/>
      <c r="F406" s="81"/>
      <c r="G406" s="64"/>
    </row>
    <row r="407" spans="1:7" ht="12.75">
      <c r="A407" s="64"/>
      <c r="B407" s="64"/>
      <c r="C407" s="64"/>
      <c r="D407" s="64"/>
      <c r="E407" s="64"/>
      <c r="F407" s="81"/>
      <c r="G407" s="64"/>
    </row>
    <row r="408" spans="1:7" ht="12.75">
      <c r="A408" s="64"/>
      <c r="B408" s="64"/>
      <c r="C408" s="64"/>
      <c r="D408" s="64"/>
      <c r="E408" s="64"/>
      <c r="F408" s="81"/>
      <c r="G408" s="85"/>
    </row>
    <row r="409" spans="1:7" ht="12.75">
      <c r="A409" s="64"/>
      <c r="B409" s="64"/>
      <c r="C409" s="64"/>
      <c r="D409" s="64"/>
      <c r="E409" s="64"/>
      <c r="F409" s="81"/>
      <c r="G409" s="83"/>
    </row>
    <row r="410" spans="1:7" ht="12.75">
      <c r="A410" s="64"/>
      <c r="B410" s="64"/>
      <c r="C410" s="64"/>
      <c r="D410" s="64"/>
      <c r="E410" s="81"/>
      <c r="F410" s="81"/>
      <c r="G410" s="81"/>
    </row>
    <row r="411" spans="1:7" ht="12.75">
      <c r="A411" s="64"/>
      <c r="B411" s="64"/>
      <c r="C411" s="64"/>
      <c r="D411" s="64"/>
      <c r="E411" s="81"/>
      <c r="F411" s="81"/>
      <c r="G411" s="81"/>
    </row>
    <row r="412" spans="1:7" ht="12.75">
      <c r="A412" s="64"/>
      <c r="B412" s="64"/>
      <c r="C412" s="64"/>
      <c r="D412" s="64"/>
      <c r="E412" s="81"/>
      <c r="F412" s="81"/>
      <c r="G412" s="81"/>
    </row>
    <row r="413" spans="1:7" ht="12.75">
      <c r="A413" s="64"/>
      <c r="B413" s="64"/>
      <c r="C413" s="64"/>
      <c r="D413" s="64"/>
      <c r="E413" s="81"/>
      <c r="F413" s="80"/>
      <c r="G413" s="81"/>
    </row>
    <row r="414" spans="1:7" ht="12.75">
      <c r="A414" s="64"/>
      <c r="B414" s="64"/>
      <c r="C414" s="64"/>
      <c r="D414" s="64"/>
      <c r="E414" s="81"/>
      <c r="F414" s="64"/>
      <c r="G414" s="81"/>
    </row>
    <row r="415" spans="1:8" ht="12.75">
      <c r="A415" s="64"/>
      <c r="B415" s="64"/>
      <c r="C415" s="64"/>
      <c r="D415" s="64"/>
      <c r="E415" s="64"/>
      <c r="F415" s="64"/>
      <c r="G415" s="81"/>
      <c r="H415" s="84"/>
    </row>
    <row r="416" spans="1:7" ht="12.75">
      <c r="A416" s="64"/>
      <c r="B416" s="64"/>
      <c r="C416" s="64"/>
      <c r="D416" s="64"/>
      <c r="E416" s="64"/>
      <c r="F416" s="64"/>
      <c r="G416" s="64"/>
    </row>
    <row r="417" spans="1:8" ht="12.75">
      <c r="A417" s="64"/>
      <c r="B417" s="64"/>
      <c r="C417" s="64"/>
      <c r="D417" s="64"/>
      <c r="E417" s="64"/>
      <c r="F417" s="64"/>
      <c r="G417" s="64"/>
      <c r="H417" s="81"/>
    </row>
    <row r="418" spans="1:8" ht="12.75">
      <c r="A418" s="64"/>
      <c r="B418" s="64"/>
      <c r="C418" s="64"/>
      <c r="D418" s="64"/>
      <c r="E418" s="64"/>
      <c r="F418" s="64"/>
      <c r="G418" s="64"/>
      <c r="H418" s="81"/>
    </row>
    <row r="419" spans="1:8" ht="15.75">
      <c r="A419" s="64"/>
      <c r="B419" s="64"/>
      <c r="C419" s="64"/>
      <c r="D419" s="64"/>
      <c r="E419" s="64"/>
      <c r="F419" s="78"/>
      <c r="H419" s="81"/>
    </row>
    <row r="420" spans="1:8" ht="12.75">
      <c r="A420" s="64"/>
      <c r="B420" s="64"/>
      <c r="C420" s="64"/>
      <c r="D420" s="64"/>
      <c r="E420" s="64"/>
      <c r="F420" s="64"/>
      <c r="G420" s="64"/>
      <c r="H420" s="81"/>
    </row>
    <row r="421" spans="1:8" ht="12.75">
      <c r="A421" s="64"/>
      <c r="B421" s="64"/>
      <c r="C421" s="64"/>
      <c r="D421" s="64"/>
      <c r="E421" s="64"/>
      <c r="F421" s="64"/>
      <c r="G421" s="64"/>
      <c r="H421" s="81"/>
    </row>
    <row r="422" spans="1:8" ht="12.75">
      <c r="A422" s="64"/>
      <c r="B422" s="64"/>
      <c r="C422" s="64"/>
      <c r="D422" s="64"/>
      <c r="E422" s="64"/>
      <c r="F422" s="81"/>
      <c r="G422" s="64"/>
      <c r="H422" s="64"/>
    </row>
    <row r="423" spans="1:7" ht="12.75">
      <c r="A423" s="64"/>
      <c r="B423" s="64"/>
      <c r="C423" s="64"/>
      <c r="D423" s="64"/>
      <c r="E423" s="64"/>
      <c r="F423" s="81"/>
      <c r="G423" s="64"/>
    </row>
    <row r="424" spans="1:7" ht="12.75">
      <c r="A424" s="64"/>
      <c r="B424" s="64"/>
      <c r="C424" s="64"/>
      <c r="D424" s="64"/>
      <c r="E424" s="64"/>
      <c r="F424" s="81"/>
      <c r="G424" s="64"/>
    </row>
    <row r="425" spans="1:9" ht="12.75">
      <c r="A425" s="64"/>
      <c r="B425" s="64"/>
      <c r="C425" s="64"/>
      <c r="D425" s="64"/>
      <c r="E425" s="64"/>
      <c r="F425" s="81"/>
      <c r="G425" s="64"/>
      <c r="I425" s="84"/>
    </row>
    <row r="426" spans="1:7" ht="12.75">
      <c r="A426" s="64"/>
      <c r="B426" s="64"/>
      <c r="C426" s="64"/>
      <c r="D426" s="64"/>
      <c r="E426" s="64"/>
      <c r="F426" s="81"/>
      <c r="G426" s="85"/>
    </row>
    <row r="427" spans="1:9" ht="12.75">
      <c r="A427" s="64"/>
      <c r="B427" s="64"/>
      <c r="C427" s="64"/>
      <c r="D427" s="64"/>
      <c r="E427" s="64"/>
      <c r="F427" s="81"/>
      <c r="G427" s="83"/>
      <c r="I427" s="81"/>
    </row>
    <row r="428" spans="1:9" ht="12.75">
      <c r="A428" s="64"/>
      <c r="B428" s="64"/>
      <c r="C428" s="64"/>
      <c r="D428" s="64"/>
      <c r="E428" s="64"/>
      <c r="F428" s="81"/>
      <c r="G428" s="81"/>
      <c r="I428" s="81"/>
    </row>
    <row r="429" spans="1:9" ht="12.75">
      <c r="A429" s="64"/>
      <c r="B429" s="64"/>
      <c r="C429" s="64"/>
      <c r="D429" s="64"/>
      <c r="E429" s="64"/>
      <c r="F429" s="81"/>
      <c r="G429" s="81"/>
      <c r="I429" s="81"/>
    </row>
    <row r="430" spans="1:9" ht="12.75">
      <c r="A430" s="64"/>
      <c r="B430" s="64"/>
      <c r="C430" s="64"/>
      <c r="D430" s="64"/>
      <c r="E430" s="64"/>
      <c r="F430" s="81"/>
      <c r="G430" s="81"/>
      <c r="I430" s="80"/>
    </row>
    <row r="431" ht="12.75">
      <c r="I431" s="64"/>
    </row>
    <row r="432" ht="12.75">
      <c r="I432" s="64"/>
    </row>
  </sheetData>
  <sheetProtection/>
  <printOptions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scale="71" r:id="rId1"/>
  <rowBreaks count="3" manualBreakCount="3">
    <brk id="75" max="8" man="1"/>
    <brk id="149" max="8" man="1"/>
    <brk id="3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Normal="75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2.75390625" style="3" bestFit="1" customWidth="1"/>
    <col min="2" max="2" width="5.00390625" style="3" customWidth="1"/>
    <col min="3" max="3" width="34.25390625" style="3" bestFit="1" customWidth="1"/>
    <col min="4" max="4" width="0.875" style="3" customWidth="1"/>
    <col min="5" max="8" width="31.375" style="3" customWidth="1"/>
    <col min="9" max="16384" width="9.125" style="3" customWidth="1"/>
  </cols>
  <sheetData>
    <row r="1" spans="2:8" ht="27" customHeight="1">
      <c r="B1" s="2"/>
      <c r="H1" s="54" t="s">
        <v>316</v>
      </c>
    </row>
    <row r="2" spans="2:8" ht="21" customHeight="1">
      <c r="B2" s="5"/>
      <c r="H2" s="97">
        <v>41336</v>
      </c>
    </row>
    <row r="3" spans="4:8" ht="13.5">
      <c r="D3" s="5"/>
      <c r="H3" s="8"/>
    </row>
    <row r="4" spans="1:3" ht="15" customHeight="1">
      <c r="A4" s="3">
        <v>1</v>
      </c>
      <c r="B4" s="252">
        <v>17</v>
      </c>
      <c r="C4" s="44" t="s">
        <v>138</v>
      </c>
    </row>
    <row r="5" spans="4:5" ht="15" customHeight="1">
      <c r="D5" s="45"/>
      <c r="E5" s="44" t="s">
        <v>96</v>
      </c>
    </row>
    <row r="6" spans="1:5" ht="15" customHeight="1">
      <c r="A6" s="3">
        <v>2</v>
      </c>
      <c r="B6" s="252"/>
      <c r="C6" s="44" t="s">
        <v>125</v>
      </c>
      <c r="D6" s="46"/>
      <c r="E6" s="47" t="s">
        <v>124</v>
      </c>
    </row>
    <row r="7" spans="4:6" ht="15" customHeight="1">
      <c r="D7" s="7"/>
      <c r="E7" s="48"/>
      <c r="F7" s="49" t="s">
        <v>96</v>
      </c>
    </row>
    <row r="8" spans="1:6" ht="15" customHeight="1">
      <c r="A8" s="3">
        <v>3</v>
      </c>
      <c r="B8" s="252">
        <v>18</v>
      </c>
      <c r="C8" s="44" t="s">
        <v>139</v>
      </c>
      <c r="D8" s="50"/>
      <c r="E8" s="48"/>
      <c r="F8" s="47" t="s">
        <v>317</v>
      </c>
    </row>
    <row r="9" spans="4:6" ht="15" customHeight="1">
      <c r="D9" s="45"/>
      <c r="E9" s="51" t="s">
        <v>115</v>
      </c>
      <c r="F9" s="48"/>
    </row>
    <row r="10" spans="1:6" ht="15" customHeight="1">
      <c r="A10" s="3">
        <v>4</v>
      </c>
      <c r="B10" s="252">
        <v>35</v>
      </c>
      <c r="C10" s="44" t="s">
        <v>174</v>
      </c>
      <c r="D10" s="46"/>
      <c r="E10" s="3" t="s">
        <v>305</v>
      </c>
      <c r="F10" s="48"/>
    </row>
    <row r="11" spans="4:7" ht="15" customHeight="1">
      <c r="D11" s="7"/>
      <c r="F11" s="48"/>
      <c r="G11" s="49" t="s">
        <v>96</v>
      </c>
    </row>
    <row r="12" spans="1:7" ht="15" customHeight="1">
      <c r="A12" s="3">
        <v>5</v>
      </c>
      <c r="B12" s="252">
        <v>39</v>
      </c>
      <c r="C12" s="44" t="s">
        <v>175</v>
      </c>
      <c r="D12" s="50"/>
      <c r="F12" s="48"/>
      <c r="G12" s="47" t="s">
        <v>318</v>
      </c>
    </row>
    <row r="13" spans="4:7" ht="15" customHeight="1">
      <c r="D13" s="45"/>
      <c r="E13" s="44" t="s">
        <v>119</v>
      </c>
      <c r="F13" s="48"/>
      <c r="G13" s="48"/>
    </row>
    <row r="14" spans="1:7" ht="15" customHeight="1">
      <c r="A14" s="3">
        <v>6</v>
      </c>
      <c r="B14" s="252"/>
      <c r="C14" s="44" t="s">
        <v>125</v>
      </c>
      <c r="D14" s="46"/>
      <c r="E14" s="47" t="s">
        <v>124</v>
      </c>
      <c r="F14" s="48"/>
      <c r="G14" s="48"/>
    </row>
    <row r="15" spans="4:7" ht="15" customHeight="1">
      <c r="D15" s="7"/>
      <c r="E15" s="48"/>
      <c r="F15" s="53" t="s">
        <v>119</v>
      </c>
      <c r="G15" s="48"/>
    </row>
    <row r="16" spans="1:7" ht="15" customHeight="1">
      <c r="A16" s="3">
        <v>7</v>
      </c>
      <c r="B16" s="252"/>
      <c r="C16" s="44" t="s">
        <v>125</v>
      </c>
      <c r="D16" s="50"/>
      <c r="E16" s="48"/>
      <c r="F16" s="3" t="s">
        <v>319</v>
      </c>
      <c r="G16" s="48"/>
    </row>
    <row r="17" spans="4:7" ht="15" customHeight="1">
      <c r="D17" s="45"/>
      <c r="E17" s="51" t="s">
        <v>111</v>
      </c>
      <c r="G17" s="278"/>
    </row>
    <row r="18" spans="1:7" ht="15" customHeight="1">
      <c r="A18" s="3">
        <v>8</v>
      </c>
      <c r="B18" s="252">
        <v>33</v>
      </c>
      <c r="C18" s="44" t="s">
        <v>154</v>
      </c>
      <c r="D18" s="46"/>
      <c r="E18" s="3" t="s">
        <v>124</v>
      </c>
      <c r="G18" s="48"/>
    </row>
    <row r="19" spans="4:8" ht="15" customHeight="1">
      <c r="D19" s="7"/>
      <c r="G19" s="282"/>
      <c r="H19" s="49" t="s">
        <v>96</v>
      </c>
    </row>
    <row r="20" spans="1:8" ht="15" customHeight="1">
      <c r="A20" s="3">
        <v>9</v>
      </c>
      <c r="B20" s="252">
        <v>34</v>
      </c>
      <c r="C20" s="44" t="s">
        <v>172</v>
      </c>
      <c r="D20" s="50"/>
      <c r="G20" s="281"/>
      <c r="H20" s="47" t="s">
        <v>311</v>
      </c>
    </row>
    <row r="21" spans="4:8" ht="15" customHeight="1">
      <c r="D21" s="45"/>
      <c r="E21" s="44" t="s">
        <v>112</v>
      </c>
      <c r="G21" s="48"/>
      <c r="H21" s="48"/>
    </row>
    <row r="22" spans="1:8" ht="15" customHeight="1">
      <c r="A22" s="3">
        <v>10</v>
      </c>
      <c r="B22" s="252"/>
      <c r="C22" s="44" t="s">
        <v>125</v>
      </c>
      <c r="D22" s="46"/>
      <c r="E22" s="47" t="s">
        <v>124</v>
      </c>
      <c r="G22" s="48"/>
      <c r="H22" s="48"/>
    </row>
    <row r="23" spans="4:8" ht="15" customHeight="1">
      <c r="D23" s="7"/>
      <c r="E23" s="48"/>
      <c r="F23" s="49" t="s">
        <v>112</v>
      </c>
      <c r="G23" s="48"/>
      <c r="H23" s="48"/>
    </row>
    <row r="24" spans="1:8" ht="15" customHeight="1">
      <c r="A24" s="3">
        <v>11</v>
      </c>
      <c r="B24" s="252"/>
      <c r="C24" s="44" t="s">
        <v>125</v>
      </c>
      <c r="D24" s="50"/>
      <c r="E24" s="48"/>
      <c r="F24" s="47" t="s">
        <v>320</v>
      </c>
      <c r="G24" s="48"/>
      <c r="H24" s="48"/>
    </row>
    <row r="25" spans="4:8" ht="15" customHeight="1">
      <c r="D25" s="45"/>
      <c r="E25" s="51" t="s">
        <v>108</v>
      </c>
      <c r="F25" s="48"/>
      <c r="G25" s="48"/>
      <c r="H25" s="48"/>
    </row>
    <row r="26" spans="1:8" ht="15" customHeight="1">
      <c r="A26" s="3">
        <v>12</v>
      </c>
      <c r="B26" s="252">
        <v>30</v>
      </c>
      <c r="C26" s="44" t="s">
        <v>295</v>
      </c>
      <c r="D26" s="46"/>
      <c r="E26" s="3" t="s">
        <v>124</v>
      </c>
      <c r="F26" s="48"/>
      <c r="G26" s="48"/>
      <c r="H26" s="48"/>
    </row>
    <row r="27" spans="4:8" ht="15" customHeight="1">
      <c r="D27" s="7"/>
      <c r="F27" s="48"/>
      <c r="G27" s="53" t="s">
        <v>112</v>
      </c>
      <c r="H27" s="48"/>
    </row>
    <row r="28" spans="1:8" ht="15" customHeight="1">
      <c r="A28" s="3">
        <v>13</v>
      </c>
      <c r="B28" s="252">
        <v>36</v>
      </c>
      <c r="C28" s="44" t="s">
        <v>126</v>
      </c>
      <c r="D28" s="50"/>
      <c r="F28" s="48"/>
      <c r="G28" s="3" t="s">
        <v>321</v>
      </c>
      <c r="H28" s="48"/>
    </row>
    <row r="29" spans="4:8" ht="15" customHeight="1">
      <c r="D29" s="45"/>
      <c r="E29" s="44" t="s">
        <v>109</v>
      </c>
      <c r="F29" s="48"/>
      <c r="H29" s="48"/>
    </row>
    <row r="30" spans="1:8" ht="15" customHeight="1">
      <c r="A30" s="3">
        <v>14</v>
      </c>
      <c r="B30" s="252">
        <v>31</v>
      </c>
      <c r="C30" s="44" t="s">
        <v>143</v>
      </c>
      <c r="D30" s="46"/>
      <c r="E30" s="47" t="s">
        <v>322</v>
      </c>
      <c r="F30" s="48"/>
      <c r="H30" s="48"/>
    </row>
    <row r="31" spans="4:8" ht="15" customHeight="1">
      <c r="D31" s="7"/>
      <c r="E31" s="48"/>
      <c r="F31" s="53" t="s">
        <v>109</v>
      </c>
      <c r="H31" s="48"/>
    </row>
    <row r="32" spans="1:8" ht="15" customHeight="1">
      <c r="A32" s="3">
        <v>15</v>
      </c>
      <c r="B32" s="252"/>
      <c r="C32" s="44" t="s">
        <v>125</v>
      </c>
      <c r="D32" s="50"/>
      <c r="E32" s="48"/>
      <c r="F32" s="3" t="s">
        <v>322</v>
      </c>
      <c r="H32" s="48"/>
    </row>
    <row r="33" spans="4:8" ht="15" customHeight="1">
      <c r="D33" s="45"/>
      <c r="E33" s="51" t="s">
        <v>100</v>
      </c>
      <c r="F33" s="64"/>
      <c r="G33" s="81"/>
      <c r="H33" s="48"/>
    </row>
    <row r="34" spans="1:8" ht="15" customHeight="1">
      <c r="A34" s="3">
        <v>16</v>
      </c>
      <c r="B34" s="252">
        <v>20</v>
      </c>
      <c r="C34" s="44" t="s">
        <v>169</v>
      </c>
      <c r="D34" s="46"/>
      <c r="E34" s="3" t="s">
        <v>124</v>
      </c>
      <c r="F34" s="81"/>
      <c r="G34" s="64" t="s">
        <v>124</v>
      </c>
      <c r="H34" s="48"/>
    </row>
    <row r="35" spans="6:8" ht="13.5" thickBot="1">
      <c r="F35" s="81"/>
      <c r="G35" s="81"/>
      <c r="H35" s="284" t="s">
        <v>99</v>
      </c>
    </row>
    <row r="36" spans="1:8" ht="13.5" thickTop="1">
      <c r="A36" s="3">
        <v>17</v>
      </c>
      <c r="B36" s="252">
        <v>25</v>
      </c>
      <c r="C36" s="44" t="s">
        <v>129</v>
      </c>
      <c r="H36" s="48" t="s">
        <v>315</v>
      </c>
    </row>
    <row r="37" spans="4:8" ht="12.75">
      <c r="D37" s="45"/>
      <c r="E37" s="44" t="s">
        <v>104</v>
      </c>
      <c r="H37" s="48"/>
    </row>
    <row r="38" spans="1:8" ht="12.75">
      <c r="A38" s="3">
        <v>18</v>
      </c>
      <c r="B38" s="252"/>
      <c r="C38" s="44" t="s">
        <v>125</v>
      </c>
      <c r="D38" s="46"/>
      <c r="E38" s="47"/>
      <c r="H38" s="48"/>
    </row>
    <row r="39" spans="4:8" ht="12.75">
      <c r="D39" s="7"/>
      <c r="E39" s="48"/>
      <c r="F39" s="49" t="s">
        <v>104</v>
      </c>
      <c r="H39" s="48"/>
    </row>
    <row r="40" spans="1:8" ht="12.75">
      <c r="A40" s="3">
        <v>19</v>
      </c>
      <c r="B40" s="252"/>
      <c r="C40" s="44" t="s">
        <v>125</v>
      </c>
      <c r="D40" s="50"/>
      <c r="E40" s="48"/>
      <c r="F40" s="47" t="s">
        <v>307</v>
      </c>
      <c r="H40" s="48"/>
    </row>
    <row r="41" spans="4:8" ht="12.75">
      <c r="D41" s="45"/>
      <c r="E41" s="51" t="s">
        <v>110</v>
      </c>
      <c r="F41" s="48"/>
      <c r="H41" s="48"/>
    </row>
    <row r="42" spans="1:8" ht="12.75">
      <c r="A42" s="3">
        <v>20</v>
      </c>
      <c r="B42" s="252">
        <v>32</v>
      </c>
      <c r="C42" s="44" t="s">
        <v>153</v>
      </c>
      <c r="D42" s="46"/>
      <c r="F42" s="48"/>
      <c r="H42" s="48"/>
    </row>
    <row r="43" spans="4:8" ht="12.75">
      <c r="D43" s="7"/>
      <c r="F43" s="48"/>
      <c r="G43" s="49" t="s">
        <v>107</v>
      </c>
      <c r="H43" s="48"/>
    </row>
    <row r="44" spans="1:8" ht="12.75">
      <c r="A44" s="3">
        <v>21</v>
      </c>
      <c r="B44" s="252">
        <v>26</v>
      </c>
      <c r="C44" s="44" t="s">
        <v>156</v>
      </c>
      <c r="D44" s="50"/>
      <c r="F44" s="48"/>
      <c r="G44" s="47" t="s">
        <v>312</v>
      </c>
      <c r="H44" s="48"/>
    </row>
    <row r="45" spans="4:8" ht="12.75">
      <c r="D45" s="45"/>
      <c r="E45" s="44" t="s">
        <v>105</v>
      </c>
      <c r="F45" s="48"/>
      <c r="G45" s="48"/>
      <c r="H45" s="48"/>
    </row>
    <row r="46" spans="1:8" ht="12.75">
      <c r="A46" s="3">
        <v>22</v>
      </c>
      <c r="B46" s="252"/>
      <c r="C46" s="44" t="s">
        <v>125</v>
      </c>
      <c r="D46" s="46"/>
      <c r="E46" s="47"/>
      <c r="F46" s="48"/>
      <c r="G46" s="48"/>
      <c r="H46" s="48"/>
    </row>
    <row r="47" spans="4:8" ht="12.75">
      <c r="D47" s="7"/>
      <c r="E47" s="48"/>
      <c r="F47" s="53" t="s">
        <v>107</v>
      </c>
      <c r="G47" s="48"/>
      <c r="H47" s="48"/>
    </row>
    <row r="48" spans="1:8" ht="12.75">
      <c r="A48" s="3">
        <v>23</v>
      </c>
      <c r="B48" s="252"/>
      <c r="C48" s="44" t="s">
        <v>125</v>
      </c>
      <c r="D48" s="50"/>
      <c r="E48" s="48"/>
      <c r="F48" s="3" t="s">
        <v>308</v>
      </c>
      <c r="G48" s="48"/>
      <c r="H48" s="48"/>
    </row>
    <row r="49" spans="4:8" ht="12.75">
      <c r="D49" s="45"/>
      <c r="E49" s="51" t="s">
        <v>107</v>
      </c>
      <c r="G49" s="278"/>
      <c r="H49" s="48"/>
    </row>
    <row r="50" spans="1:8" ht="12.75">
      <c r="A50" s="3">
        <v>24</v>
      </c>
      <c r="B50" s="252">
        <v>28</v>
      </c>
      <c r="C50" s="44" t="s">
        <v>145</v>
      </c>
      <c r="D50" s="46"/>
      <c r="G50" s="48"/>
      <c r="H50" s="48"/>
    </row>
    <row r="51" spans="4:8" ht="12.75">
      <c r="D51" s="7"/>
      <c r="G51" s="283"/>
      <c r="H51" s="53" t="s">
        <v>99</v>
      </c>
    </row>
    <row r="52" spans="1:8" ht="12.75">
      <c r="A52" s="3">
        <v>25</v>
      </c>
      <c r="B52" s="252">
        <v>29</v>
      </c>
      <c r="C52" s="44" t="s">
        <v>157</v>
      </c>
      <c r="D52" s="50"/>
      <c r="G52" s="281"/>
      <c r="H52" s="3" t="s">
        <v>314</v>
      </c>
    </row>
    <row r="53" spans="4:7" ht="12.75">
      <c r="D53" s="45"/>
      <c r="E53" s="44" t="s">
        <v>81</v>
      </c>
      <c r="G53" s="48"/>
    </row>
    <row r="54" spans="1:7" ht="12.75">
      <c r="A54" s="3">
        <v>26</v>
      </c>
      <c r="B54" s="252"/>
      <c r="C54" s="44" t="s">
        <v>125</v>
      </c>
      <c r="D54" s="46"/>
      <c r="E54" s="47"/>
      <c r="G54" s="48"/>
    </row>
    <row r="55" spans="4:7" ht="12.75">
      <c r="D55" s="7"/>
      <c r="E55" s="48"/>
      <c r="F55" s="49" t="s">
        <v>81</v>
      </c>
      <c r="G55" s="48"/>
    </row>
    <row r="56" spans="1:7" ht="12.75">
      <c r="A56" s="3">
        <v>27</v>
      </c>
      <c r="B56" s="252"/>
      <c r="C56" s="44" t="s">
        <v>125</v>
      </c>
      <c r="D56" s="50"/>
      <c r="E56" s="48"/>
      <c r="F56" s="47" t="s">
        <v>309</v>
      </c>
      <c r="G56" s="48"/>
    </row>
    <row r="57" spans="4:7" ht="12.75">
      <c r="D57" s="45"/>
      <c r="E57" s="51" t="s">
        <v>304</v>
      </c>
      <c r="F57" s="48"/>
      <c r="G57" s="48"/>
    </row>
    <row r="58" spans="1:7" ht="12.75">
      <c r="A58" s="3">
        <v>28</v>
      </c>
      <c r="B58" s="252">
        <v>38</v>
      </c>
      <c r="C58" s="44" t="s">
        <v>130</v>
      </c>
      <c r="D58" s="46"/>
      <c r="F58" s="48"/>
      <c r="G58" s="48"/>
    </row>
    <row r="59" spans="4:7" ht="12.75">
      <c r="D59" s="7"/>
      <c r="F59" s="48"/>
      <c r="G59" s="53" t="s">
        <v>99</v>
      </c>
    </row>
    <row r="60" spans="1:7" ht="12.75">
      <c r="A60" s="3">
        <v>29</v>
      </c>
      <c r="B60" s="252">
        <v>37</v>
      </c>
      <c r="C60" s="44" t="s">
        <v>127</v>
      </c>
      <c r="D60" s="50"/>
      <c r="F60" s="48"/>
      <c r="G60" s="3" t="s">
        <v>313</v>
      </c>
    </row>
    <row r="61" spans="4:6" ht="12.75">
      <c r="D61" s="45"/>
      <c r="E61" s="44" t="s">
        <v>118</v>
      </c>
      <c r="F61" s="48"/>
    </row>
    <row r="62" spans="1:6" ht="12.75">
      <c r="A62" s="3">
        <v>30</v>
      </c>
      <c r="B62" s="252">
        <v>27</v>
      </c>
      <c r="C62" s="44" t="s">
        <v>133</v>
      </c>
      <c r="D62" s="46"/>
      <c r="E62" s="152" t="s">
        <v>306</v>
      </c>
      <c r="F62" s="48"/>
    </row>
    <row r="63" spans="4:6" ht="12.75">
      <c r="D63" s="7"/>
      <c r="E63" s="48"/>
      <c r="F63" s="53" t="s">
        <v>99</v>
      </c>
    </row>
    <row r="64" spans="1:6" ht="12.75">
      <c r="A64" s="3">
        <v>31</v>
      </c>
      <c r="B64" s="252"/>
      <c r="C64" s="44" t="s">
        <v>125</v>
      </c>
      <c r="D64" s="50"/>
      <c r="E64" s="48"/>
      <c r="F64" s="3" t="s">
        <v>310</v>
      </c>
    </row>
    <row r="65" spans="4:7" ht="12.75">
      <c r="D65" s="45"/>
      <c r="E65" s="51" t="s">
        <v>99</v>
      </c>
      <c r="F65" s="64"/>
      <c r="G65" s="81"/>
    </row>
    <row r="66" spans="1:7" ht="12.75">
      <c r="A66" s="3">
        <v>32</v>
      </c>
      <c r="B66" s="252">
        <v>19</v>
      </c>
      <c r="C66" s="44" t="s">
        <v>171</v>
      </c>
      <c r="D66" s="46"/>
      <c r="F66" s="81"/>
      <c r="G66" s="64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3.625" style="3" bestFit="1" customWidth="1"/>
    <col min="2" max="2" width="4.125" style="3" customWidth="1"/>
    <col min="3" max="3" width="32.00390625" style="3" customWidth="1"/>
    <col min="4" max="4" width="0.875" style="3" customWidth="1"/>
    <col min="5" max="6" width="18.25390625" style="3" bestFit="1" customWidth="1"/>
    <col min="7" max="7" width="19.125" style="3" bestFit="1" customWidth="1"/>
    <col min="8" max="8" width="19.25390625" style="3" customWidth="1"/>
    <col min="9" max="16384" width="9.125" style="3" customWidth="1"/>
  </cols>
  <sheetData>
    <row r="1" spans="2:8" ht="27" customHeight="1">
      <c r="B1" s="2"/>
      <c r="H1" s="54" t="s">
        <v>121</v>
      </c>
    </row>
    <row r="2" spans="2:8" ht="21" customHeight="1">
      <c r="B2" s="5"/>
      <c r="H2" s="97">
        <v>41336</v>
      </c>
    </row>
    <row r="3" spans="2:8" ht="13.5">
      <c r="B3" s="238">
        <v>1</v>
      </c>
      <c r="C3" s="3" t="s">
        <v>122</v>
      </c>
      <c r="D3" s="5"/>
      <c r="H3" s="7"/>
    </row>
    <row r="4" spans="1:5" ht="12.75">
      <c r="A4" s="3">
        <v>1</v>
      </c>
      <c r="B4" s="52">
        <v>2</v>
      </c>
      <c r="C4" s="44" t="s">
        <v>123</v>
      </c>
      <c r="E4" s="3" t="s">
        <v>77</v>
      </c>
    </row>
    <row r="5" spans="2:5" ht="12.75">
      <c r="B5" s="238"/>
      <c r="C5" s="3" t="s">
        <v>124</v>
      </c>
      <c r="D5" s="45"/>
      <c r="E5" s="44" t="s">
        <v>85</v>
      </c>
    </row>
    <row r="6" spans="1:6" ht="12.75">
      <c r="A6" s="3">
        <v>2</v>
      </c>
      <c r="B6" s="44" t="s">
        <v>124</v>
      </c>
      <c r="C6" s="44" t="s">
        <v>125</v>
      </c>
      <c r="D6" s="46"/>
      <c r="E6" s="47" t="s">
        <v>124</v>
      </c>
      <c r="F6" s="3" t="s">
        <v>77</v>
      </c>
    </row>
    <row r="7" spans="2:6" ht="12.75">
      <c r="B7" s="238">
        <v>36</v>
      </c>
      <c r="C7" s="3" t="s">
        <v>126</v>
      </c>
      <c r="D7" s="7"/>
      <c r="E7" s="48"/>
      <c r="F7" s="55" t="s">
        <v>85</v>
      </c>
    </row>
    <row r="8" spans="1:6" ht="12.75">
      <c r="A8" s="3">
        <v>3</v>
      </c>
      <c r="B8" s="44">
        <v>37</v>
      </c>
      <c r="C8" s="44" t="s">
        <v>127</v>
      </c>
      <c r="D8" s="50"/>
      <c r="E8" s="48" t="s">
        <v>104</v>
      </c>
      <c r="F8" s="47" t="s">
        <v>128</v>
      </c>
    </row>
    <row r="9" spans="2:6" ht="12.75">
      <c r="B9" s="238">
        <v>25</v>
      </c>
      <c r="C9" s="3" t="s">
        <v>129</v>
      </c>
      <c r="D9" s="45"/>
      <c r="E9" s="51" t="s">
        <v>120</v>
      </c>
      <c r="F9" s="48"/>
    </row>
    <row r="10" spans="1:7" ht="12.75">
      <c r="A10" s="3">
        <v>4</v>
      </c>
      <c r="B10" s="44">
        <v>38</v>
      </c>
      <c r="C10" s="44" t="s">
        <v>130</v>
      </c>
      <c r="D10" s="46"/>
      <c r="E10" s="3" t="s">
        <v>131</v>
      </c>
      <c r="F10" s="48"/>
      <c r="G10" s="3" t="s">
        <v>77</v>
      </c>
    </row>
    <row r="11" spans="2:7" ht="12.75">
      <c r="B11" s="238">
        <v>16</v>
      </c>
      <c r="C11" s="3" t="s">
        <v>132</v>
      </c>
      <c r="D11" s="7"/>
      <c r="F11" s="48"/>
      <c r="G11" s="55" t="s">
        <v>85</v>
      </c>
    </row>
    <row r="12" spans="1:7" ht="12.75">
      <c r="A12" s="3">
        <v>5</v>
      </c>
      <c r="B12" s="44">
        <v>27</v>
      </c>
      <c r="C12" s="44" t="s">
        <v>133</v>
      </c>
      <c r="D12" s="50"/>
      <c r="E12" s="3" t="s">
        <v>95</v>
      </c>
      <c r="F12" s="48"/>
      <c r="G12" s="47" t="s">
        <v>134</v>
      </c>
    </row>
    <row r="13" spans="2:7" ht="12.75">
      <c r="B13" s="238"/>
      <c r="C13" s="3" t="s">
        <v>124</v>
      </c>
      <c r="D13" s="45"/>
      <c r="E13" s="44" t="s">
        <v>106</v>
      </c>
      <c r="F13" s="48"/>
      <c r="G13" s="48"/>
    </row>
    <row r="14" spans="1:7" ht="12.75">
      <c r="A14" s="3">
        <v>6</v>
      </c>
      <c r="B14" s="44" t="s">
        <v>124</v>
      </c>
      <c r="C14" s="44" t="s">
        <v>125</v>
      </c>
      <c r="D14" s="46"/>
      <c r="E14" s="47" t="s">
        <v>124</v>
      </c>
      <c r="F14" s="48" t="s">
        <v>93</v>
      </c>
      <c r="G14" s="48"/>
    </row>
    <row r="15" spans="2:7" ht="12.75">
      <c r="B15" s="238"/>
      <c r="C15" s="3" t="s">
        <v>124</v>
      </c>
      <c r="D15" s="7"/>
      <c r="E15" s="48"/>
      <c r="F15" s="56" t="s">
        <v>75</v>
      </c>
      <c r="G15" s="48"/>
    </row>
    <row r="16" spans="1:7" ht="12.75">
      <c r="A16" s="3">
        <v>7</v>
      </c>
      <c r="B16" s="155" t="s">
        <v>124</v>
      </c>
      <c r="C16" s="44" t="s">
        <v>125</v>
      </c>
      <c r="D16" s="50"/>
      <c r="E16" s="48" t="s">
        <v>93</v>
      </c>
      <c r="F16" s="3" t="s">
        <v>135</v>
      </c>
      <c r="G16" s="48"/>
    </row>
    <row r="17" spans="2:7" ht="12.75">
      <c r="B17" s="238">
        <v>9</v>
      </c>
      <c r="C17" s="3" t="s">
        <v>136</v>
      </c>
      <c r="D17" s="45"/>
      <c r="E17" s="51" t="s">
        <v>75</v>
      </c>
      <c r="G17" s="48"/>
    </row>
    <row r="18" spans="1:8" ht="12.75">
      <c r="A18" s="3">
        <v>8</v>
      </c>
      <c r="B18" s="44">
        <v>11</v>
      </c>
      <c r="C18" s="44" t="s">
        <v>137</v>
      </c>
      <c r="D18" s="46"/>
      <c r="E18" s="3" t="s">
        <v>124</v>
      </c>
      <c r="G18" s="48"/>
      <c r="H18" s="60" t="s">
        <v>77</v>
      </c>
    </row>
    <row r="19" spans="2:8" ht="12.75">
      <c r="B19" s="238">
        <v>17</v>
      </c>
      <c r="C19" s="3" t="s">
        <v>138</v>
      </c>
      <c r="D19" s="7"/>
      <c r="G19" s="48"/>
      <c r="H19" s="49" t="s">
        <v>85</v>
      </c>
    </row>
    <row r="20" spans="1:8" ht="12.75">
      <c r="A20" s="3">
        <v>9</v>
      </c>
      <c r="B20" s="44">
        <v>18</v>
      </c>
      <c r="C20" s="44" t="s">
        <v>139</v>
      </c>
      <c r="D20" s="50"/>
      <c r="E20" s="3" t="s">
        <v>96</v>
      </c>
      <c r="G20" s="48"/>
      <c r="H20" s="47" t="s">
        <v>140</v>
      </c>
    </row>
    <row r="21" spans="2:8" ht="12.75">
      <c r="B21" s="238"/>
      <c r="C21" s="3" t="s">
        <v>124</v>
      </c>
      <c r="D21" s="45"/>
      <c r="E21" s="44" t="s">
        <v>98</v>
      </c>
      <c r="G21" s="48"/>
      <c r="H21" s="48"/>
    </row>
    <row r="22" spans="1:8" ht="12.75">
      <c r="A22" s="3">
        <v>10</v>
      </c>
      <c r="B22" s="44" t="s">
        <v>124</v>
      </c>
      <c r="C22" s="44" t="s">
        <v>125</v>
      </c>
      <c r="D22" s="46"/>
      <c r="E22" s="47" t="s">
        <v>124</v>
      </c>
      <c r="F22" s="3" t="s">
        <v>103</v>
      </c>
      <c r="G22" s="48"/>
      <c r="H22" s="48"/>
    </row>
    <row r="23" spans="2:8" ht="12.75">
      <c r="B23" s="238"/>
      <c r="C23" s="3" t="s">
        <v>124</v>
      </c>
      <c r="D23" s="7"/>
      <c r="E23" s="48"/>
      <c r="F23" s="55" t="s">
        <v>109</v>
      </c>
      <c r="G23" s="48"/>
      <c r="H23" s="48"/>
    </row>
    <row r="24" spans="1:8" ht="12.75">
      <c r="A24" s="3">
        <v>11</v>
      </c>
      <c r="B24" s="44" t="s">
        <v>124</v>
      </c>
      <c r="C24" s="44" t="s">
        <v>125</v>
      </c>
      <c r="D24" s="50"/>
      <c r="E24" s="48" t="s">
        <v>103</v>
      </c>
      <c r="F24" s="47" t="s">
        <v>141</v>
      </c>
      <c r="G24" s="48"/>
      <c r="H24" s="48"/>
    </row>
    <row r="25" spans="2:8" ht="12.75">
      <c r="B25" s="238">
        <v>23</v>
      </c>
      <c r="C25" s="3" t="s">
        <v>142</v>
      </c>
      <c r="D25" s="45"/>
      <c r="E25" s="51" t="s">
        <v>109</v>
      </c>
      <c r="F25" s="48"/>
      <c r="G25" s="48"/>
      <c r="H25" s="48"/>
    </row>
    <row r="26" spans="1:8" ht="12.75">
      <c r="A26" s="3">
        <v>12</v>
      </c>
      <c r="B26" s="44">
        <v>31</v>
      </c>
      <c r="C26" s="44" t="s">
        <v>143</v>
      </c>
      <c r="D26" s="46"/>
      <c r="E26" s="3" t="s">
        <v>124</v>
      </c>
      <c r="F26" s="48"/>
      <c r="G26" s="48" t="s">
        <v>87</v>
      </c>
      <c r="H26" s="48"/>
    </row>
    <row r="27" spans="2:8" ht="12.75">
      <c r="B27" s="238">
        <v>22</v>
      </c>
      <c r="C27" s="3" t="s">
        <v>144</v>
      </c>
      <c r="D27" s="7"/>
      <c r="F27" s="48"/>
      <c r="G27" s="56" t="s">
        <v>113</v>
      </c>
      <c r="H27" s="48"/>
    </row>
    <row r="28" spans="1:8" ht="12.75">
      <c r="A28" s="3">
        <v>13</v>
      </c>
      <c r="B28" s="44">
        <v>28</v>
      </c>
      <c r="C28" s="44" t="s">
        <v>145</v>
      </c>
      <c r="D28" s="50"/>
      <c r="E28" s="3" t="s">
        <v>102</v>
      </c>
      <c r="F28" s="48"/>
      <c r="G28" s="3" t="s">
        <v>146</v>
      </c>
      <c r="H28" s="48"/>
    </row>
    <row r="29" spans="2:8" ht="12.75">
      <c r="B29" s="238"/>
      <c r="C29" s="3" t="s">
        <v>124</v>
      </c>
      <c r="D29" s="45"/>
      <c r="E29" s="44" t="s">
        <v>107</v>
      </c>
      <c r="F29" s="48"/>
      <c r="H29" s="48"/>
    </row>
    <row r="30" spans="1:8" ht="12.75">
      <c r="A30" s="3">
        <v>14</v>
      </c>
      <c r="B30" s="44" t="s">
        <v>124</v>
      </c>
      <c r="C30" s="44" t="s">
        <v>125</v>
      </c>
      <c r="D30" s="46"/>
      <c r="E30" s="47" t="s">
        <v>124</v>
      </c>
      <c r="F30" s="48" t="s">
        <v>87</v>
      </c>
      <c r="H30" s="48"/>
    </row>
    <row r="31" spans="2:8" ht="12.75">
      <c r="B31" s="238"/>
      <c r="C31" s="3" t="s">
        <v>124</v>
      </c>
      <c r="D31" s="7"/>
      <c r="E31" s="48"/>
      <c r="F31" s="56" t="s">
        <v>113</v>
      </c>
      <c r="H31" s="48"/>
    </row>
    <row r="32" spans="1:8" ht="12.75">
      <c r="A32" s="3">
        <v>15</v>
      </c>
      <c r="B32" s="44" t="s">
        <v>124</v>
      </c>
      <c r="C32" s="44" t="s">
        <v>125</v>
      </c>
      <c r="D32" s="50"/>
      <c r="E32" s="48" t="s">
        <v>87</v>
      </c>
      <c r="F32" s="3" t="s">
        <v>147</v>
      </c>
      <c r="H32" s="48"/>
    </row>
    <row r="33" spans="2:8" ht="12.75">
      <c r="B33" s="238">
        <v>5</v>
      </c>
      <c r="C33" s="3" t="s">
        <v>148</v>
      </c>
      <c r="D33" s="45"/>
      <c r="E33" s="51" t="s">
        <v>113</v>
      </c>
      <c r="H33" s="48"/>
    </row>
    <row r="34" spans="1:8" ht="12.75">
      <c r="A34" s="3">
        <v>16</v>
      </c>
      <c r="B34" s="44">
        <v>8</v>
      </c>
      <c r="C34" s="44" t="s">
        <v>149</v>
      </c>
      <c r="D34" s="46"/>
      <c r="E34" s="3" t="s">
        <v>124</v>
      </c>
      <c r="H34" s="57" t="s">
        <v>77</v>
      </c>
    </row>
    <row r="35" spans="2:8" ht="12.75">
      <c r="B35" s="238">
        <v>6</v>
      </c>
      <c r="C35" s="3" t="s">
        <v>150</v>
      </c>
      <c r="D35" s="7"/>
      <c r="H35" s="58" t="s">
        <v>85</v>
      </c>
    </row>
    <row r="36" spans="1:8" ht="12.75">
      <c r="A36" s="3">
        <v>17</v>
      </c>
      <c r="B36" s="44">
        <v>10</v>
      </c>
      <c r="C36" s="44" t="s">
        <v>151</v>
      </c>
      <c r="D36" s="50"/>
      <c r="E36" s="3" t="s">
        <v>88</v>
      </c>
      <c r="H36" s="48" t="s">
        <v>152</v>
      </c>
    </row>
    <row r="37" spans="2:8" ht="12.75">
      <c r="B37" s="238"/>
      <c r="C37" s="3" t="s">
        <v>124</v>
      </c>
      <c r="D37" s="45"/>
      <c r="E37" s="44" t="s">
        <v>67</v>
      </c>
      <c r="H37" s="48"/>
    </row>
    <row r="38" spans="1:8" ht="12.75">
      <c r="A38" s="3">
        <v>18</v>
      </c>
      <c r="B38" s="44" t="s">
        <v>124</v>
      </c>
      <c r="C38" s="44" t="s">
        <v>125</v>
      </c>
      <c r="D38" s="46"/>
      <c r="E38" s="47" t="s">
        <v>124</v>
      </c>
      <c r="F38" s="3" t="s">
        <v>88</v>
      </c>
      <c r="H38" s="48"/>
    </row>
    <row r="39" spans="2:8" ht="12.75">
      <c r="B39" s="238">
        <v>32</v>
      </c>
      <c r="C39" s="3" t="s">
        <v>153</v>
      </c>
      <c r="D39" s="7"/>
      <c r="E39" s="48"/>
      <c r="F39" s="55" t="s">
        <v>67</v>
      </c>
      <c r="H39" s="48"/>
    </row>
    <row r="40" spans="1:8" ht="12.75">
      <c r="A40" s="3">
        <v>19</v>
      </c>
      <c r="B40" s="44">
        <v>33</v>
      </c>
      <c r="C40" s="44" t="s">
        <v>154</v>
      </c>
      <c r="D40" s="50"/>
      <c r="E40" s="48" t="s">
        <v>105</v>
      </c>
      <c r="F40" s="47" t="s">
        <v>155</v>
      </c>
      <c r="H40" s="48"/>
    </row>
    <row r="41" spans="2:8" ht="12.75">
      <c r="B41" s="238">
        <v>26</v>
      </c>
      <c r="C41" s="3" t="s">
        <v>156</v>
      </c>
      <c r="D41" s="45"/>
      <c r="E41" s="51" t="s">
        <v>81</v>
      </c>
      <c r="F41" s="48"/>
      <c r="H41" s="48"/>
    </row>
    <row r="42" spans="1:8" ht="12.75">
      <c r="A42" s="3">
        <v>20</v>
      </c>
      <c r="B42" s="44">
        <v>29</v>
      </c>
      <c r="C42" s="44" t="s">
        <v>157</v>
      </c>
      <c r="D42" s="46"/>
      <c r="E42" s="3" t="s">
        <v>158</v>
      </c>
      <c r="F42" s="48"/>
      <c r="G42" s="3" t="s">
        <v>88</v>
      </c>
      <c r="H42" s="48"/>
    </row>
    <row r="43" spans="2:8" ht="12.75">
      <c r="B43" s="238">
        <v>7</v>
      </c>
      <c r="C43" s="3" t="s">
        <v>159</v>
      </c>
      <c r="D43" s="7"/>
      <c r="F43" s="48"/>
      <c r="G43" s="55" t="s">
        <v>67</v>
      </c>
      <c r="H43" s="48"/>
    </row>
    <row r="44" spans="1:8" ht="12.75">
      <c r="A44" s="3">
        <v>21</v>
      </c>
      <c r="B44" s="44">
        <v>24</v>
      </c>
      <c r="C44" s="44" t="s">
        <v>160</v>
      </c>
      <c r="D44" s="50"/>
      <c r="E44" s="3" t="s">
        <v>76</v>
      </c>
      <c r="F44" s="48"/>
      <c r="G44" s="47" t="s">
        <v>161</v>
      </c>
      <c r="H44" s="48"/>
    </row>
    <row r="45" spans="2:8" ht="12.75">
      <c r="B45" s="238"/>
      <c r="C45" s="3" t="s">
        <v>124</v>
      </c>
      <c r="D45" s="45"/>
      <c r="E45" s="44" t="s">
        <v>80</v>
      </c>
      <c r="F45" s="48"/>
      <c r="G45" s="48"/>
      <c r="H45" s="48"/>
    </row>
    <row r="46" spans="1:8" ht="12.75">
      <c r="A46" s="3">
        <v>22</v>
      </c>
      <c r="B46" s="44" t="s">
        <v>124</v>
      </c>
      <c r="C46" s="44" t="s">
        <v>125</v>
      </c>
      <c r="D46" s="46"/>
      <c r="E46" s="47" t="s">
        <v>124</v>
      </c>
      <c r="F46" s="48" t="s">
        <v>76</v>
      </c>
      <c r="G46" s="48"/>
      <c r="H46" s="48"/>
    </row>
    <row r="47" spans="2:8" ht="12.75">
      <c r="B47" s="238"/>
      <c r="C47" s="3" t="s">
        <v>124</v>
      </c>
      <c r="D47" s="7"/>
      <c r="E47" s="48"/>
      <c r="F47" s="56" t="s">
        <v>80</v>
      </c>
      <c r="G47" s="48"/>
      <c r="H47" s="48"/>
    </row>
    <row r="48" spans="1:8" ht="12.75">
      <c r="A48" s="3">
        <v>23</v>
      </c>
      <c r="B48" s="44" t="s">
        <v>124</v>
      </c>
      <c r="C48" s="44" t="s">
        <v>125</v>
      </c>
      <c r="D48" s="50"/>
      <c r="E48" s="48" t="s">
        <v>69</v>
      </c>
      <c r="F48" s="3" t="s">
        <v>162</v>
      </c>
      <c r="G48" s="48"/>
      <c r="H48" s="48"/>
    </row>
    <row r="49" spans="2:8" ht="12.75">
      <c r="B49" s="238">
        <v>13</v>
      </c>
      <c r="C49" s="3" t="s">
        <v>163</v>
      </c>
      <c r="D49" s="45"/>
      <c r="E49" s="51" t="s">
        <v>68</v>
      </c>
      <c r="G49" s="48"/>
      <c r="H49" s="48"/>
    </row>
    <row r="50" spans="1:8" ht="12.75">
      <c r="A50" s="3">
        <v>24</v>
      </c>
      <c r="B50" s="44">
        <v>15</v>
      </c>
      <c r="C50" s="44" t="s">
        <v>164</v>
      </c>
      <c r="D50" s="46"/>
      <c r="E50" s="3" t="s">
        <v>124</v>
      </c>
      <c r="G50" s="48"/>
      <c r="H50" s="57" t="s">
        <v>88</v>
      </c>
    </row>
    <row r="51" spans="2:8" ht="12.75">
      <c r="B51" s="238">
        <v>12</v>
      </c>
      <c r="C51" s="3" t="s">
        <v>165</v>
      </c>
      <c r="D51" s="7"/>
      <c r="G51" s="48"/>
      <c r="H51" s="58" t="s">
        <v>67</v>
      </c>
    </row>
    <row r="52" spans="1:8" ht="12.75">
      <c r="A52" s="3">
        <v>25</v>
      </c>
      <c r="B52" s="44">
        <v>14</v>
      </c>
      <c r="C52" s="44" t="s">
        <v>166</v>
      </c>
      <c r="D52" s="50"/>
      <c r="E52" s="3" t="s">
        <v>94</v>
      </c>
      <c r="G52" s="48"/>
      <c r="H52" s="3" t="s">
        <v>167</v>
      </c>
    </row>
    <row r="53" spans="2:7" ht="12.75">
      <c r="B53" s="238"/>
      <c r="C53" s="3" t="s">
        <v>124</v>
      </c>
      <c r="D53" s="45"/>
      <c r="E53" s="44" t="s">
        <v>79</v>
      </c>
      <c r="G53" s="48"/>
    </row>
    <row r="54" spans="1:7" ht="12.75">
      <c r="A54" s="3">
        <v>26</v>
      </c>
      <c r="B54" s="44" t="s">
        <v>124</v>
      </c>
      <c r="C54" s="44" t="s">
        <v>125</v>
      </c>
      <c r="D54" s="46"/>
      <c r="E54" s="47" t="s">
        <v>124</v>
      </c>
      <c r="F54" s="3" t="s">
        <v>94</v>
      </c>
      <c r="G54" s="48"/>
    </row>
    <row r="55" spans="2:7" ht="12.75">
      <c r="B55" s="238"/>
      <c r="C55" s="3" t="s">
        <v>124</v>
      </c>
      <c r="D55" s="7"/>
      <c r="E55" s="48"/>
      <c r="F55" s="55" t="s">
        <v>79</v>
      </c>
      <c r="G55" s="48"/>
    </row>
    <row r="56" spans="1:7" ht="12.75">
      <c r="A56" s="3">
        <v>27</v>
      </c>
      <c r="B56" s="44" t="s">
        <v>124</v>
      </c>
      <c r="C56" s="44" t="s">
        <v>125</v>
      </c>
      <c r="D56" s="50"/>
      <c r="E56" s="48" t="s">
        <v>100</v>
      </c>
      <c r="F56" s="47" t="s">
        <v>168</v>
      </c>
      <c r="G56" s="48"/>
    </row>
    <row r="57" spans="2:7" ht="12.75">
      <c r="B57" s="238">
        <v>20</v>
      </c>
      <c r="C57" s="3" t="s">
        <v>169</v>
      </c>
      <c r="D57" s="45"/>
      <c r="E57" s="51" t="s">
        <v>101</v>
      </c>
      <c r="F57" s="48"/>
      <c r="G57" s="48"/>
    </row>
    <row r="58" spans="1:7" ht="12.75">
      <c r="A58" s="3">
        <v>28</v>
      </c>
      <c r="B58" s="44">
        <v>21</v>
      </c>
      <c r="C58" s="44" t="s">
        <v>170</v>
      </c>
      <c r="D58" s="46"/>
      <c r="E58" s="3" t="s">
        <v>124</v>
      </c>
      <c r="F58" s="48"/>
      <c r="G58" s="48" t="s">
        <v>83</v>
      </c>
    </row>
    <row r="59" spans="2:7" ht="12.75">
      <c r="B59" s="238">
        <v>19</v>
      </c>
      <c r="C59" s="3" t="s">
        <v>171</v>
      </c>
      <c r="D59" s="7"/>
      <c r="F59" s="48"/>
      <c r="G59" s="56" t="s">
        <v>90</v>
      </c>
    </row>
    <row r="60" spans="1:7" ht="12.75">
      <c r="A60" s="3">
        <v>29</v>
      </c>
      <c r="B60" s="44">
        <v>34</v>
      </c>
      <c r="C60" s="44" t="s">
        <v>172</v>
      </c>
      <c r="D60" s="50"/>
      <c r="E60" s="3" t="s">
        <v>99</v>
      </c>
      <c r="F60" s="48"/>
      <c r="G60" s="3" t="s">
        <v>173</v>
      </c>
    </row>
    <row r="61" spans="2:6" ht="12.75">
      <c r="B61" s="238">
        <v>35</v>
      </c>
      <c r="C61" s="3" t="s">
        <v>174</v>
      </c>
      <c r="D61" s="45"/>
      <c r="E61" s="44" t="s">
        <v>112</v>
      </c>
      <c r="F61" s="48"/>
    </row>
    <row r="62" spans="1:6" ht="12.75">
      <c r="A62" s="3">
        <v>30</v>
      </c>
      <c r="B62" s="44">
        <v>39</v>
      </c>
      <c r="C62" s="44" t="s">
        <v>175</v>
      </c>
      <c r="D62" s="46"/>
      <c r="E62" s="47" t="s">
        <v>176</v>
      </c>
      <c r="F62" s="48" t="s">
        <v>83</v>
      </c>
    </row>
    <row r="63" spans="2:6" ht="12.75">
      <c r="B63" s="238"/>
      <c r="C63" s="3" t="s">
        <v>124</v>
      </c>
      <c r="D63" s="7"/>
      <c r="E63" s="48"/>
      <c r="F63" s="56" t="s">
        <v>90</v>
      </c>
    </row>
    <row r="64" spans="1:6" ht="12.75">
      <c r="A64" s="3">
        <v>31</v>
      </c>
      <c r="B64" s="44" t="s">
        <v>124</v>
      </c>
      <c r="C64" s="44" t="s">
        <v>125</v>
      </c>
      <c r="D64" s="50"/>
      <c r="E64" s="48" t="s">
        <v>83</v>
      </c>
      <c r="F64" s="3" t="s">
        <v>177</v>
      </c>
    </row>
    <row r="65" spans="2:5" ht="12.75">
      <c r="B65" s="238">
        <v>3</v>
      </c>
      <c r="C65" s="3" t="s">
        <v>178</v>
      </c>
      <c r="D65" s="45"/>
      <c r="E65" s="51" t="s">
        <v>90</v>
      </c>
    </row>
    <row r="66" spans="1:5" ht="12.75">
      <c r="A66" s="3">
        <v>32</v>
      </c>
      <c r="B66" s="44">
        <v>4</v>
      </c>
      <c r="C66" s="44" t="s">
        <v>179</v>
      </c>
      <c r="D66" s="46"/>
      <c r="E66" s="3" t="s">
        <v>124</v>
      </c>
    </row>
    <row r="67" ht="12.75">
      <c r="D67" s="154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2"/>
  <rowBreaks count="1" manualBreakCount="1">
    <brk id="6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.625" style="3" bestFit="1" customWidth="1"/>
    <col min="2" max="2" width="4.125" style="3" customWidth="1"/>
    <col min="3" max="3" width="32.00390625" style="3" customWidth="1"/>
    <col min="4" max="4" width="0.875" style="3" customWidth="1"/>
    <col min="5" max="6" width="18.25390625" style="3" bestFit="1" customWidth="1"/>
    <col min="7" max="7" width="21.75390625" style="3" bestFit="1" customWidth="1"/>
    <col min="8" max="8" width="19.25390625" style="3" customWidth="1"/>
    <col min="9" max="16384" width="9.125" style="3" customWidth="1"/>
  </cols>
  <sheetData>
    <row r="1" spans="2:7" ht="27" customHeight="1">
      <c r="B1" s="2"/>
      <c r="G1" s="54" t="str">
        <f>CONCATENATE("Čtyřhra - ",seznam!G2)</f>
        <v>Čtyřhra - Zimní cena Jižního Města nejmladšího žactva</v>
      </c>
    </row>
    <row r="2" spans="2:7" ht="21" customHeight="1">
      <c r="B2" s="5"/>
      <c r="G2" s="97">
        <f>seznam!H2</f>
        <v>41336</v>
      </c>
    </row>
    <row r="3" spans="2:7" ht="13.5">
      <c r="B3" s="5"/>
      <c r="G3" s="7"/>
    </row>
    <row r="4" spans="2:4" ht="24.75" customHeight="1">
      <c r="B4" s="225">
        <v>3</v>
      </c>
      <c r="C4" s="3" t="str">
        <f>IF($B4="","",CONCATENATE(VLOOKUP($B4,seznam!$A$2:$B$51,2)," (",VLOOKUP($B4,seznam!$A$2:$E$51,4),")"))</f>
        <v>Záboj Matěj (FK Kolín)</v>
      </c>
      <c r="D4" s="5"/>
    </row>
    <row r="5" spans="1:5" ht="24.75" customHeight="1">
      <c r="A5" s="3">
        <v>1</v>
      </c>
      <c r="B5" s="44" t="e">
        <f>IF(B4="","",VLOOKUP(B4,#REF!,2,FALSE))</f>
        <v>#REF!</v>
      </c>
      <c r="C5" s="44" t="e">
        <f>IF($B5="","bye",CONCATENATE(VLOOKUP($B5,seznam!$A$2:$B$51,2)," (",VLOOKUP($B5,seznam!$A$2:$E$51,4),")"))</f>
        <v>#REF!</v>
      </c>
      <c r="E5" s="3">
        <f>'V double 16'!V2</f>
      </c>
    </row>
    <row r="6" spans="2:5" ht="24.75" customHeight="1">
      <c r="B6" s="225"/>
      <c r="C6" s="3">
        <f>IF($B6="","",CONCATENATE(VLOOKUP($B6,seznam!$A$2:$B$51,2)," (",VLOOKUP($B6,seznam!$A$2:$E$51,4),")"))</f>
      </c>
      <c r="D6" s="45"/>
      <c r="E6" s="44">
        <f>'V double 16'!X2</f>
      </c>
    </row>
    <row r="7" spans="1:6" ht="24.75" customHeight="1">
      <c r="A7" s="3">
        <v>2</v>
      </c>
      <c r="B7" s="44">
        <f>IF(B6="","",VLOOKUP(B6,#REF!,2,FALSE))</f>
      </c>
      <c r="C7" s="44" t="str">
        <f>IF($B7="","bye",CONCATENATE(VLOOKUP($B7,seznam!$A$2:$B$51,2)," (",VLOOKUP($B7,seznam!$A$2:$E$51,4),")"))</f>
        <v>bye</v>
      </c>
      <c r="D7" s="46"/>
      <c r="E7" s="47">
        <f>'V double 16'!Z2</f>
      </c>
      <c r="F7" s="3">
        <f>'V double 16'!V11</f>
      </c>
    </row>
    <row r="8" spans="2:6" ht="24.75" customHeight="1">
      <c r="B8" s="225">
        <v>17</v>
      </c>
      <c r="C8" s="3" t="str">
        <f>IF($B8="","",CONCATENATE(VLOOKUP($B8,seznam!$A$2:$B$51,2)," (",VLOOKUP($B8,seznam!$A$2:$E$51,4),")"))</f>
        <v>Sochor Adam (Stadion Žižkov)</v>
      </c>
      <c r="D8" s="7"/>
      <c r="E8" s="48"/>
      <c r="F8" s="55">
        <f>'V double 16'!X11</f>
      </c>
    </row>
    <row r="9" spans="1:6" ht="24.75" customHeight="1">
      <c r="A9" s="3">
        <v>3</v>
      </c>
      <c r="B9" s="44" t="e">
        <f>IF(B8="","",VLOOKUP(B8,#REF!,2,FALSE))</f>
        <v>#REF!</v>
      </c>
      <c r="C9" s="44" t="e">
        <f>IF($B9="","bye",CONCATENATE(VLOOKUP($B9,seznam!$A$2:$B$51,2)," (",VLOOKUP($B9,seznam!$A$2:$E$51,4),")"))</f>
        <v>#REF!</v>
      </c>
      <c r="D9" s="50"/>
      <c r="E9" s="48">
        <f>'V double 16'!V3</f>
      </c>
      <c r="F9" s="47">
        <f>'V double 16'!Z11</f>
      </c>
    </row>
    <row r="10" spans="2:6" ht="24.75" customHeight="1">
      <c r="B10" s="225">
        <v>8</v>
      </c>
      <c r="C10" s="3" t="str">
        <f>IF($B10="","",CONCATENATE(VLOOKUP($B10,seznam!$A$2:$B$51,2)," (",VLOOKUP($B10,seznam!$A$2:$E$51,4),")"))</f>
        <v>Stach Matěj  (TTC Bělá pod Bezdězem)</v>
      </c>
      <c r="D10" s="45"/>
      <c r="E10" s="51">
        <f>'V double 16'!X3</f>
      </c>
      <c r="F10" s="48"/>
    </row>
    <row r="11" spans="1:7" ht="24.75" customHeight="1">
      <c r="A11" s="3">
        <v>4</v>
      </c>
      <c r="B11" s="44" t="e">
        <f>IF(B10="","",VLOOKUP(B10,#REF!,2,FALSE))</f>
        <v>#REF!</v>
      </c>
      <c r="C11" s="44" t="e">
        <f>IF($B11="","bye",CONCATENATE(VLOOKUP($B11,seznam!$A$2:$B$51,2)," (",VLOOKUP($B11,seznam!$A$2:$E$51,4),")"))</f>
        <v>#REF!</v>
      </c>
      <c r="D11" s="46"/>
      <c r="E11" s="3">
        <f>'V double 16'!Z3</f>
      </c>
      <c r="F11" s="48"/>
      <c r="G11" s="3">
        <f>'V double 16'!V16</f>
      </c>
    </row>
    <row r="12" spans="2:7" ht="24.75" customHeight="1">
      <c r="B12" s="225">
        <v>9</v>
      </c>
      <c r="C12" s="3" t="str">
        <f>IF($B12="","",CONCATENATE(VLOOKUP($B12,seznam!$A$2:$B$51,2)," (",VLOOKUP($B12,seznam!$A$2:$E$51,4),")"))</f>
        <v>Zeman Martin (Sportovní Jižní Město)</v>
      </c>
      <c r="D12" s="7"/>
      <c r="F12" s="48"/>
      <c r="G12" s="55">
        <f>'V double 16'!X16</f>
      </c>
    </row>
    <row r="13" spans="1:7" ht="24.75" customHeight="1">
      <c r="A13" s="3">
        <v>5</v>
      </c>
      <c r="B13" s="44" t="e">
        <f>IF(B12="","",VLOOKUP(B12,#REF!,2,FALSE))</f>
        <v>#REF!</v>
      </c>
      <c r="C13" s="44" t="e">
        <f>IF($B13="","bye",CONCATENATE(VLOOKUP($B13,seznam!$A$2:$B$51,2)," (",VLOOKUP($B13,seznam!$A$2:$E$51,4),")"))</f>
        <v>#REF!</v>
      </c>
      <c r="D13" s="50"/>
      <c r="E13" s="3">
        <f>'V double 16'!V4</f>
      </c>
      <c r="F13" s="48"/>
      <c r="G13" s="47">
        <f>'V double 16'!Z16</f>
      </c>
    </row>
    <row r="14" spans="2:7" ht="24.75" customHeight="1">
      <c r="B14" s="225"/>
      <c r="C14" s="3">
        <f>IF($B14="","",CONCATENATE(VLOOKUP($B14,seznam!$A$2:$B$51,2)," (",VLOOKUP($B14,seznam!$A$2:$E$51,4),")"))</f>
      </c>
      <c r="D14" s="45"/>
      <c r="E14" s="44">
        <f>'V double 16'!X4</f>
      </c>
      <c r="F14" s="48"/>
      <c r="G14" s="48"/>
    </row>
    <row r="15" spans="1:7" ht="24.75" customHeight="1">
      <c r="A15" s="3">
        <v>6</v>
      </c>
      <c r="B15" s="44">
        <f>IF(B14="","",VLOOKUP(B14,#REF!,2,FALSE))</f>
      </c>
      <c r="C15" s="44" t="str">
        <f>IF($B15="","bye",CONCATENATE(VLOOKUP($B15,seznam!$A$2:$B$51,2)," (",VLOOKUP($B15,seznam!$A$2:$E$51,4),")"))</f>
        <v>bye</v>
      </c>
      <c r="D15" s="46"/>
      <c r="E15" s="47">
        <f>'V double 16'!Z4</f>
      </c>
      <c r="F15" s="48">
        <f>'V double 16'!V12</f>
      </c>
      <c r="G15" s="48"/>
    </row>
    <row r="16" spans="2:7" ht="24.75" customHeight="1">
      <c r="B16" s="225"/>
      <c r="C16" s="3">
        <f>IF($B16="","",CONCATENATE(VLOOKUP($B16,seznam!$A$2:$B$51,2)," (",VLOOKUP($B16,seznam!$A$2:$E$51,4),")"))</f>
      </c>
      <c r="D16" s="7"/>
      <c r="E16" s="48"/>
      <c r="F16" s="56">
        <f>'V double 16'!X12</f>
      </c>
      <c r="G16" s="48"/>
    </row>
    <row r="17" spans="1:7" ht="24.75" customHeight="1">
      <c r="A17" s="3">
        <v>7</v>
      </c>
      <c r="B17" s="44">
        <f>IF(B16="","",VLOOKUP(B16,#REF!,2,FALSE))</f>
      </c>
      <c r="C17" s="44" t="str">
        <f>IF($B17="","bye",CONCATENATE(VLOOKUP($B17,seznam!$A$2:$B$51,2)," (",VLOOKUP($B17,seznam!$A$2:$E$51,4),")"))</f>
        <v>bye</v>
      </c>
      <c r="D17" s="50"/>
      <c r="E17" s="48">
        <f>'V double 16'!V5</f>
      </c>
      <c r="F17" s="3">
        <f>'V double 16'!Z12</f>
      </c>
      <c r="G17" s="48"/>
    </row>
    <row r="18" spans="2:7" ht="24.75" customHeight="1">
      <c r="B18" s="225">
        <v>5</v>
      </c>
      <c r="C18" s="3" t="str">
        <f>IF($B18="","",CONCATENATE(VLOOKUP($B18,seznam!$A$2:$B$51,2)," (",VLOOKUP($B18,seznam!$A$2:$E$51,4),")"))</f>
        <v>Teska Tomáš (SKST Vlašim)</v>
      </c>
      <c r="D18" s="45"/>
      <c r="E18" s="51">
        <f>'V double 16'!X5</f>
      </c>
      <c r="G18" s="48"/>
    </row>
    <row r="19" spans="1:7" ht="24.75" customHeight="1">
      <c r="A19" s="3">
        <v>8</v>
      </c>
      <c r="B19" s="44" t="e">
        <f>IF(B18="","",VLOOKUP(B18,#REF!,2,FALSE))</f>
        <v>#REF!</v>
      </c>
      <c r="C19" s="44" t="e">
        <f>IF($B19="","bye",CONCATENATE(VLOOKUP($B19,seznam!$A$2:$B$51,2)," (",VLOOKUP($B19,seznam!$A$2:$E$51,4),")"))</f>
        <v>#REF!</v>
      </c>
      <c r="D19" s="46"/>
      <c r="E19" s="3">
        <f>'V double 16'!Z5</f>
      </c>
      <c r="G19" s="57">
        <f>'V double 16'!V19</f>
      </c>
    </row>
    <row r="20" spans="2:7" ht="24.75" customHeight="1">
      <c r="B20" s="225">
        <v>2</v>
      </c>
      <c r="C20" s="3" t="str">
        <f>IF($B20="","",CONCATENATE(VLOOKUP($B20,seznam!$A$2:$B$51,2)," (",VLOOKUP($B20,seznam!$A$2:$E$51,4),")"))</f>
        <v>Štricová Niamh (STC Slaný)</v>
      </c>
      <c r="D20" s="7"/>
      <c r="G20" s="58">
        <f>'V double 16'!X19</f>
      </c>
    </row>
    <row r="21" spans="1:7" ht="24.75" customHeight="1">
      <c r="A21" s="3">
        <v>9</v>
      </c>
      <c r="B21" s="44" t="e">
        <f>IF(B20="","",VLOOKUP(B20,#REF!,2,FALSE))</f>
        <v>#REF!</v>
      </c>
      <c r="C21" s="44" t="e">
        <f>IF($B21="","bye",CONCATENATE(VLOOKUP($B21,seznam!$A$2:$B$51,2)," (",VLOOKUP($B21,seznam!$A$2:$E$51,4),")"))</f>
        <v>#REF!</v>
      </c>
      <c r="D21" s="50"/>
      <c r="E21" s="3">
        <f>'V double 16'!V6</f>
      </c>
      <c r="G21" s="47">
        <f>'V double 16'!Z19</f>
      </c>
    </row>
    <row r="22" spans="2:8" ht="24.75" customHeight="1">
      <c r="B22" s="225"/>
      <c r="C22" s="3">
        <f>IF($B22="","",CONCATENATE(VLOOKUP($B22,seznam!$A$2:$B$51,2)," (",VLOOKUP($B22,seznam!$A$2:$E$51,4),")"))</f>
      </c>
      <c r="D22" s="45"/>
      <c r="E22" s="44">
        <f>'V double 16'!X6</f>
      </c>
      <c r="G22" s="48"/>
      <c r="H22" s="52"/>
    </row>
    <row r="23" spans="1:8" ht="24.75" customHeight="1">
      <c r="A23" s="3">
        <v>10</v>
      </c>
      <c r="B23" s="44">
        <f>IF(B22="","",VLOOKUP(B22,#REF!,2,FALSE))</f>
      </c>
      <c r="C23" s="44" t="str">
        <f>IF($B23="","bye",CONCATENATE(VLOOKUP($B23,seznam!$A$2:$B$51,2)," (",VLOOKUP($B23,seznam!$A$2:$E$51,4),")"))</f>
        <v>bye</v>
      </c>
      <c r="D23" s="46"/>
      <c r="E23" s="47">
        <f>'V double 16'!Z6</f>
      </c>
      <c r="F23" s="3">
        <f>'V double 16'!V13</f>
      </c>
      <c r="G23" s="48"/>
      <c r="H23" s="52"/>
    </row>
    <row r="24" spans="2:8" ht="24.75" customHeight="1">
      <c r="B24" s="225"/>
      <c r="C24" s="3">
        <f>IF($B24="","",CONCATENATE(VLOOKUP($B24,seznam!$A$2:$B$51,2)," (",VLOOKUP($B24,seznam!$A$2:$E$51,4),")"))</f>
      </c>
      <c r="D24" s="7"/>
      <c r="E24" s="48"/>
      <c r="F24" s="55">
        <f>'V double 16'!X13</f>
      </c>
      <c r="G24" s="48"/>
      <c r="H24" s="52"/>
    </row>
    <row r="25" spans="1:8" ht="24.75" customHeight="1">
      <c r="A25" s="3">
        <v>11</v>
      </c>
      <c r="B25" s="44">
        <f>IF(B24="","",VLOOKUP(B24,#REF!,2,FALSE))</f>
      </c>
      <c r="C25" s="44" t="str">
        <f>IF($B25="","bye",CONCATENATE(VLOOKUP($B25,seznam!$A$2:$B$51,2)," (",VLOOKUP($B25,seznam!$A$2:$E$51,4),")"))</f>
        <v>bye</v>
      </c>
      <c r="D25" s="50"/>
      <c r="E25" s="48">
        <f>'V double 16'!V7</f>
      </c>
      <c r="F25" s="47">
        <f>'V double 16'!Z13</f>
      </c>
      <c r="G25" s="48"/>
      <c r="H25" s="52"/>
    </row>
    <row r="26" spans="2:8" ht="24.75" customHeight="1">
      <c r="B26" s="225">
        <v>10</v>
      </c>
      <c r="C26" s="3" t="str">
        <f>IF($B26="","",CONCATENATE(VLOOKUP($B26,seznam!$A$2:$B$51,2)," (",VLOOKUP($B26,seznam!$A$2:$E$51,4),")"))</f>
        <v>Marat Filip (Sportovní Jižní Město)</v>
      </c>
      <c r="D26" s="45"/>
      <c r="E26" s="51">
        <f>'V double 16'!X7</f>
      </c>
      <c r="F26" s="48"/>
      <c r="G26" s="48"/>
      <c r="H26" s="52"/>
    </row>
    <row r="27" spans="1:8" ht="24.75" customHeight="1">
      <c r="A27" s="3">
        <v>12</v>
      </c>
      <c r="B27" s="44" t="e">
        <f>IF(B26="","",VLOOKUP(B26,#REF!,2,FALSE))</f>
        <v>#REF!</v>
      </c>
      <c r="C27" s="44" t="e">
        <f>IF($B27="","bye",CONCATENATE(VLOOKUP($B27,seznam!$A$2:$B$51,2)," (",VLOOKUP($B27,seznam!$A$2:$E$51,4),")"))</f>
        <v>#REF!</v>
      </c>
      <c r="D27" s="46"/>
      <c r="E27" s="3">
        <f>'V double 16'!Z7</f>
      </c>
      <c r="F27" s="48"/>
      <c r="G27" s="48">
        <f>'V double 16'!V17</f>
      </c>
      <c r="H27" s="52"/>
    </row>
    <row r="28" spans="2:8" ht="24.75" customHeight="1">
      <c r="B28" s="225">
        <v>11</v>
      </c>
      <c r="C28" s="3" t="str">
        <f>IF($B28="","",CONCATENATE(VLOOKUP($B28,seznam!$A$2:$B$51,2)," (",VLOOKUP($B28,seznam!$A$2:$E$51,4),")"))</f>
        <v>Zeman Vítek (Sportovní Jižní Město)</v>
      </c>
      <c r="D28" s="7"/>
      <c r="F28" s="48"/>
      <c r="G28" s="56">
        <f>'V double 16'!X17</f>
      </c>
      <c r="H28" s="52"/>
    </row>
    <row r="29" spans="1:8" ht="24.75" customHeight="1">
      <c r="A29" s="3">
        <v>13</v>
      </c>
      <c r="B29" s="44" t="e">
        <f>IF(B28="","",VLOOKUP(B28,#REF!,2,FALSE))</f>
        <v>#REF!</v>
      </c>
      <c r="C29" s="44" t="e">
        <f>IF($B29="","bye",CONCATENATE(VLOOKUP($B29,seznam!$A$2:$B$51,2)," (",VLOOKUP($B29,seznam!$A$2:$E$51,4),")"))</f>
        <v>#REF!</v>
      </c>
      <c r="D29" s="50"/>
      <c r="E29" s="3">
        <f>'V double 16'!V8</f>
      </c>
      <c r="F29" s="48"/>
      <c r="G29" s="3">
        <f>'V double 16'!Z17</f>
      </c>
      <c r="H29" s="52"/>
    </row>
    <row r="30" spans="2:8" ht="24.75" customHeight="1">
      <c r="B30" s="225"/>
      <c r="C30" s="3">
        <f>IF($B30="","",CONCATENATE(VLOOKUP($B30,seznam!$A$2:$B$51,2)," (",VLOOKUP($B30,seznam!$A$2:$E$51,4),")"))</f>
      </c>
      <c r="D30" s="45"/>
      <c r="E30" s="44">
        <f>'V double 16'!X8</f>
      </c>
      <c r="F30" s="48"/>
      <c r="H30" s="52"/>
    </row>
    <row r="31" spans="1:8" ht="24.75" customHeight="1">
      <c r="A31" s="3">
        <v>14</v>
      </c>
      <c r="B31" s="44">
        <f>IF(B30="","",VLOOKUP(B30,#REF!,2,FALSE))</f>
      </c>
      <c r="C31" s="44" t="str">
        <f>IF($B31="","bye",CONCATENATE(VLOOKUP($B31,seznam!$A$2:$B$51,2)," (",VLOOKUP($B31,seznam!$A$2:$E$51,4),")"))</f>
        <v>bye</v>
      </c>
      <c r="D31" s="46"/>
      <c r="E31" s="47">
        <f>'V double 16'!Z8</f>
      </c>
      <c r="F31" s="48">
        <f>'V double 16'!V14</f>
      </c>
      <c r="H31" s="52"/>
    </row>
    <row r="32" spans="2:8" ht="24.75" customHeight="1">
      <c r="B32" s="225"/>
      <c r="C32" s="3">
        <f>IF($B32="","",CONCATENATE(VLOOKUP($B32,seznam!$A$2:$B$51,2)," (",VLOOKUP($B32,seznam!$A$2:$E$51,4),")"))</f>
      </c>
      <c r="D32" s="7"/>
      <c r="E32" s="48"/>
      <c r="F32" s="56">
        <f>'V double 16'!X14</f>
      </c>
      <c r="H32" s="52"/>
    </row>
    <row r="33" spans="1:8" ht="24.75" customHeight="1">
      <c r="A33" s="3">
        <v>15</v>
      </c>
      <c r="B33" s="44">
        <f>IF(B32="","",VLOOKUP(B32,#REF!,2,FALSE))</f>
      </c>
      <c r="C33" s="44" t="str">
        <f>IF($B33="","bye",CONCATENATE(VLOOKUP($B33,seznam!$A$2:$B$51,2)," (",VLOOKUP($B33,seznam!$A$2:$E$51,4),")"))</f>
        <v>bye</v>
      </c>
      <c r="D33" s="50"/>
      <c r="E33" s="48">
        <f>'V double 16'!V9</f>
      </c>
      <c r="F33" s="3">
        <f>'V double 16'!Z14</f>
      </c>
      <c r="H33" s="52"/>
    </row>
    <row r="34" spans="2:8" ht="24.75" customHeight="1">
      <c r="B34" s="225">
        <v>1</v>
      </c>
      <c r="C34" s="3" t="str">
        <f>IF($B34="","",CONCATENATE(VLOOKUP($B34,seznam!$A$2:$B$51,2)," (",VLOOKUP($B34,seznam!$A$2:$E$51,4),")"))</f>
        <v>Krameš Jan (Lokomotiva Vršovice)</v>
      </c>
      <c r="D34" s="45"/>
      <c r="E34" s="51">
        <f>'V double 16'!X9</f>
      </c>
      <c r="H34" s="52"/>
    </row>
    <row r="35" spans="1:8" ht="24.75" customHeight="1">
      <c r="A35" s="3">
        <v>16</v>
      </c>
      <c r="B35" s="44" t="e">
        <f>IF(B34="","",VLOOKUP(B34,#REF!,2,FALSE))</f>
        <v>#REF!</v>
      </c>
      <c r="C35" s="44" t="e">
        <f>IF($B35="","bye",CONCATENATE(VLOOKUP($B35,seznam!$A$2:$B$51,2)," (",VLOOKUP($B35,seznam!$A$2:$E$51,4),")"))</f>
        <v>#REF!</v>
      </c>
      <c r="D35" s="46"/>
      <c r="E35" s="3">
        <f>'V double 16'!Z9</f>
      </c>
      <c r="H35" s="59"/>
    </row>
    <row r="36" spans="4:8" ht="24.75" customHeight="1">
      <c r="D36" s="7"/>
      <c r="H36" s="59"/>
    </row>
  </sheetData>
  <sheetProtection/>
  <printOptions horizontalCentered="1" vertic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1"/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B1">
      <pane ySplit="1" topLeftCell="A2" activePane="bottomLeft" state="frozen"/>
      <selection pane="topLeft" activeCell="H72" sqref="H72"/>
      <selection pane="bottomLeft" activeCell="C3" sqref="C3"/>
    </sheetView>
  </sheetViews>
  <sheetFormatPr defaultColWidth="9.00390625" defaultRowHeight="12.75"/>
  <cols>
    <col min="1" max="1" width="19.625" style="3" customWidth="1"/>
    <col min="2" max="2" width="4.625" style="3" bestFit="1" customWidth="1"/>
    <col min="3" max="3" width="16.00390625" style="3" bestFit="1" customWidth="1"/>
    <col min="4" max="4" width="7.00390625" style="3" bestFit="1" customWidth="1"/>
    <col min="5" max="5" width="4.625" style="3" bestFit="1" customWidth="1"/>
    <col min="6" max="6" width="16.00390625" style="3" bestFit="1" customWidth="1"/>
    <col min="7" max="7" width="7.00390625" style="3" bestFit="1" customWidth="1"/>
    <col min="8" max="8" width="4.875" style="3" bestFit="1" customWidth="1"/>
    <col min="9" max="9" width="16.00390625" style="3" bestFit="1" customWidth="1"/>
    <col min="10" max="10" width="7.00390625" style="3" bestFit="1" customWidth="1"/>
    <col min="11" max="11" width="4.875" style="3" bestFit="1" customWidth="1"/>
    <col min="12" max="12" width="14.375" style="3" bestFit="1" customWidth="1"/>
    <col min="13" max="13" width="7.00390625" style="3" bestFit="1" customWidth="1"/>
    <col min="14" max="15" width="3.875" style="3" customWidth="1"/>
    <col min="16" max="20" width="4.25390625" style="3" customWidth="1"/>
    <col min="21" max="21" width="4.625" style="3" bestFit="1" customWidth="1"/>
    <col min="22" max="22" width="12.00390625" style="3" customWidth="1"/>
    <col min="23" max="23" width="4.125" style="3" customWidth="1"/>
    <col min="24" max="24" width="11.00390625" style="3" customWidth="1"/>
    <col min="25" max="25" width="3.125" style="3" customWidth="1"/>
    <col min="26" max="26" width="21.75390625" style="3" bestFit="1" customWidth="1"/>
    <col min="27" max="27" width="2.75390625" style="3" customWidth="1"/>
    <col min="28" max="32" width="4.125" style="3" customWidth="1"/>
    <col min="33" max="16384" width="9.125" style="3" customWidth="1"/>
  </cols>
  <sheetData>
    <row r="1" spans="2:21" ht="13.5" thickBot="1">
      <c r="B1" s="60" t="s">
        <v>3</v>
      </c>
      <c r="C1" s="60" t="s">
        <v>46</v>
      </c>
      <c r="D1" s="60" t="s">
        <v>4</v>
      </c>
      <c r="E1" s="60" t="s">
        <v>3</v>
      </c>
      <c r="F1" s="60" t="s">
        <v>47</v>
      </c>
      <c r="G1" s="60" t="s">
        <v>4</v>
      </c>
      <c r="H1" s="60" t="s">
        <v>3</v>
      </c>
      <c r="I1" s="60" t="s">
        <v>58</v>
      </c>
      <c r="J1" s="60" t="s">
        <v>4</v>
      </c>
      <c r="K1" s="60" t="s">
        <v>3</v>
      </c>
      <c r="L1" s="60" t="s">
        <v>59</v>
      </c>
      <c r="M1" s="60" t="s">
        <v>4</v>
      </c>
      <c r="N1" s="61" t="s">
        <v>5</v>
      </c>
      <c r="O1" s="61" t="s">
        <v>6</v>
      </c>
      <c r="P1" s="61" t="s">
        <v>7</v>
      </c>
      <c r="Q1" s="61" t="s">
        <v>8</v>
      </c>
      <c r="R1" s="61" t="s">
        <v>9</v>
      </c>
      <c r="S1" s="60" t="s">
        <v>10</v>
      </c>
      <c r="T1" s="60" t="s">
        <v>11</v>
      </c>
      <c r="U1" s="60" t="s">
        <v>12</v>
      </c>
    </row>
    <row r="2" spans="1:32" ht="13.5" thickTop="1">
      <c r="A2" s="98" t="str">
        <f>CONCATENATE("Čtyřhra - osmifinále")</f>
        <v>Čtyřhra - osmifinále</v>
      </c>
      <c r="B2" s="3">
        <f>'KO double 16'!B4</f>
        <v>3</v>
      </c>
      <c r="C2" s="225" t="str">
        <f>IF($B2=0,"",VLOOKUP($B2,seznam!$A$2:$D$51,2))</f>
        <v>Záboj Matěj</v>
      </c>
      <c r="D2" s="3" t="str">
        <f>IF($B2=0,"",VLOOKUP($B2,seznam!$A$2:$D$51,4))</f>
        <v>FK Kolín</v>
      </c>
      <c r="E2" s="3" t="e">
        <f>'KO double 16'!B5</f>
        <v>#REF!</v>
      </c>
      <c r="F2" s="225" t="e">
        <f>IF($E2="","",VLOOKUP($E2,seznam!$A$2:$D$51,2))</f>
        <v>#REF!</v>
      </c>
      <c r="G2" s="3" t="e">
        <f>IF($E2="","",VLOOKUP($E2,seznam!$A$2:$D$51,4))</f>
        <v>#REF!</v>
      </c>
      <c r="H2" s="3">
        <f>'KO double 16'!B6</f>
        <v>0</v>
      </c>
      <c r="I2" s="225">
        <f>IF($H2=0,"",VLOOKUP($H2,seznam!$A$2:$D$51,2))</f>
      </c>
      <c r="J2" s="3">
        <f>IF($H2=0,"",VLOOKUP($H2,seznam!$A$2:$D$51,4))</f>
      </c>
      <c r="K2" s="3">
        <f>'KO double 16'!B7</f>
      </c>
      <c r="L2" s="225">
        <f>IF($K2="","",VLOOKUP($K2,seznam!$A$2:$D$51,2))</f>
      </c>
      <c r="M2" s="3">
        <f>IF($K2="","",VLOOKUP($K2,seznam!$A$2:$D$51,4))</f>
      </c>
      <c r="N2" s="226"/>
      <c r="O2" s="227"/>
      <c r="P2" s="227"/>
      <c r="Q2" s="227"/>
      <c r="R2" s="228"/>
      <c r="S2" s="3">
        <f aca="true" t="shared" si="0" ref="S2:S8">COUNTIF(AB2:AF2,"&gt;0")</f>
        <v>0</v>
      </c>
      <c r="T2" s="3">
        <f>COUNTIF(AB2:AF2,"&lt;0")</f>
        <v>0</v>
      </c>
      <c r="U2" s="3">
        <f aca="true" t="shared" si="1" ref="U2:U9">IF(S2=T2,0,IF(S2&gt;T2,B2,H2))</f>
        <v>0</v>
      </c>
      <c r="V2" s="3">
        <f>IF($U2=0,"",VLOOKUP($U2,seznam!$A$2:$D$51,2))</f>
      </c>
      <c r="W2" s="3">
        <f aca="true" t="shared" si="2" ref="W2:W9">IF(S2=T2,0,IF(S2&gt;T2,E2,K2))</f>
        <v>0</v>
      </c>
      <c r="X2" s="3">
        <f>IF($W2=0,"",VLOOKUP($W2,seznam!$A$2:$D$51,2))</f>
      </c>
      <c r="Y2" s="3">
        <f aca="true" t="shared" si="3" ref="Y2:Y9"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</c>
      <c r="Z2" s="3">
        <f aca="true" t="shared" si="4" ref="Z2:Z9">IF(MAX(S2:T2)=3,Y2,"")</f>
      </c>
      <c r="AB2" s="4">
        <f aca="true" t="shared" si="5" ref="AB2:AF9">IF(N2="",0,IF(MID(N2,1,1)="-",-1,1))</f>
        <v>0</v>
      </c>
      <c r="AC2" s="4">
        <f t="shared" si="5"/>
        <v>0</v>
      </c>
      <c r="AD2" s="4">
        <f t="shared" si="5"/>
        <v>0</v>
      </c>
      <c r="AE2" s="4">
        <f t="shared" si="5"/>
        <v>0</v>
      </c>
      <c r="AF2" s="4">
        <f t="shared" si="5"/>
        <v>0</v>
      </c>
    </row>
    <row r="3" spans="1:32" ht="12.75">
      <c r="A3" s="98" t="str">
        <f aca="true" t="shared" si="6" ref="A3:A9">CONCATENATE("Čtyřhra - osmifinále")</f>
        <v>Čtyřhra - osmifinále</v>
      </c>
      <c r="B3" s="3">
        <f>'KO double 16'!B8</f>
        <v>17</v>
      </c>
      <c r="C3" s="225" t="str">
        <f>IF($B3=0,"",VLOOKUP($B3,seznam!$A$2:$D$51,2))</f>
        <v>Sochor Adam</v>
      </c>
      <c r="D3" s="3" t="str">
        <f>IF($B3=0,"",VLOOKUP($B3,seznam!$A$2:$D$51,4))</f>
        <v>Stadion Žižkov</v>
      </c>
      <c r="E3" s="3" t="e">
        <f>'KO double 16'!B9</f>
        <v>#REF!</v>
      </c>
      <c r="F3" s="225" t="e">
        <f>IF($E3="","",VLOOKUP($E3,seznam!$A$2:$D$51,2))</f>
        <v>#REF!</v>
      </c>
      <c r="G3" s="3" t="e">
        <f>IF($E3="","",VLOOKUP($E3,seznam!$A$2:$D$51,4))</f>
        <v>#REF!</v>
      </c>
      <c r="H3" s="3">
        <f>'KO double 16'!B10</f>
        <v>8</v>
      </c>
      <c r="I3" s="225" t="str">
        <f>IF($H3=0,"",VLOOKUP($H3,seznam!$A$2:$D$51,2))</f>
        <v>Stach Matěj </v>
      </c>
      <c r="J3" s="3" t="str">
        <f>IF($H3=0,"",VLOOKUP($H3,seznam!$A$2:$D$51,4))</f>
        <v>TTC Bělá pod Bezdězem</v>
      </c>
      <c r="K3" s="3" t="e">
        <f>'KO double 16'!B11</f>
        <v>#REF!</v>
      </c>
      <c r="L3" s="225" t="e">
        <f>IF($K3="","",VLOOKUP($K3,seznam!$A$2:$D$51,2))</f>
        <v>#REF!</v>
      </c>
      <c r="M3" s="3" t="e">
        <f>IF($K3="","",VLOOKUP($K3,seznam!$A$2:$D$51,4))</f>
        <v>#REF!</v>
      </c>
      <c r="N3" s="229"/>
      <c r="O3" s="230"/>
      <c r="P3" s="230"/>
      <c r="Q3" s="230"/>
      <c r="R3" s="231"/>
      <c r="S3" s="3">
        <f t="shared" si="0"/>
        <v>0</v>
      </c>
      <c r="T3" s="3">
        <f aca="true" t="shared" si="7" ref="T3:T19">COUNTIF(AB3:AF3,"&lt;0")</f>
        <v>0</v>
      </c>
      <c r="U3" s="3">
        <f t="shared" si="1"/>
        <v>0</v>
      </c>
      <c r="V3" s="3">
        <f>IF($U3=0,"",VLOOKUP($U3,seznam!$A$2:$D$51,2))</f>
      </c>
      <c r="W3" s="3">
        <f t="shared" si="2"/>
        <v>0</v>
      </c>
      <c r="X3" s="3">
        <f>IF($W3=0,"",VLOOKUP($W3,seznam!$A$2:$D$51,2))</f>
      </c>
      <c r="Y3" s="3">
        <f t="shared" si="3"/>
      </c>
      <c r="Z3" s="3">
        <f t="shared" si="4"/>
      </c>
      <c r="AB3" s="4">
        <f t="shared" si="5"/>
        <v>0</v>
      </c>
      <c r="AC3" s="4">
        <f t="shared" si="5"/>
        <v>0</v>
      </c>
      <c r="AD3" s="4">
        <f t="shared" si="5"/>
        <v>0</v>
      </c>
      <c r="AE3" s="4">
        <f t="shared" si="5"/>
        <v>0</v>
      </c>
      <c r="AF3" s="4">
        <f t="shared" si="5"/>
        <v>0</v>
      </c>
    </row>
    <row r="4" spans="1:32" ht="12.75">
      <c r="A4" s="98" t="str">
        <f t="shared" si="6"/>
        <v>Čtyřhra - osmifinále</v>
      </c>
      <c r="B4" s="3">
        <f>'KO double 16'!B12</f>
        <v>9</v>
      </c>
      <c r="C4" s="225" t="str">
        <f>IF($B4=0,"",VLOOKUP($B4,seznam!$A$2:$D$51,2))</f>
        <v>Zeman Martin</v>
      </c>
      <c r="D4" s="3" t="str">
        <f>IF($B4=0,"",VLOOKUP($B4,seznam!$A$2:$D$51,4))</f>
        <v>Sportovní Jižní Město</v>
      </c>
      <c r="E4" s="3" t="e">
        <f>'KO double 16'!B13</f>
        <v>#REF!</v>
      </c>
      <c r="F4" s="225" t="e">
        <f>IF($E4="","",VLOOKUP($E4,seznam!$A$2:$D$51,2))</f>
        <v>#REF!</v>
      </c>
      <c r="G4" s="3" t="e">
        <f>IF($E4="","",VLOOKUP($E4,seznam!$A$2:$D$51,4))</f>
        <v>#REF!</v>
      </c>
      <c r="H4" s="3">
        <f>'KO double 16'!B14</f>
        <v>0</v>
      </c>
      <c r="I4" s="225">
        <f>IF($H4=0,"",VLOOKUP($H4,seznam!$A$2:$D$51,2))</f>
      </c>
      <c r="J4" s="3">
        <f>IF($H4=0,"",VLOOKUP($H4,seznam!$A$2:$D$51,4))</f>
      </c>
      <c r="K4" s="3">
        <f>'KO double 16'!B15</f>
      </c>
      <c r="L4" s="225">
        <f>IF($K4="","",VLOOKUP($K4,seznam!$A$2:$D$51,2))</f>
      </c>
      <c r="M4" s="3">
        <f>IF($K4="","",VLOOKUP($K4,seznam!$A$2:$D$51,4))</f>
      </c>
      <c r="N4" s="229"/>
      <c r="O4" s="230"/>
      <c r="P4" s="230"/>
      <c r="Q4" s="230"/>
      <c r="R4" s="231"/>
      <c r="S4" s="3">
        <f t="shared" si="0"/>
        <v>0</v>
      </c>
      <c r="T4" s="3">
        <f t="shared" si="7"/>
        <v>0</v>
      </c>
      <c r="U4" s="3">
        <f t="shared" si="1"/>
        <v>0</v>
      </c>
      <c r="V4" s="3">
        <f>IF($U4=0,"",VLOOKUP($U4,seznam!$A$2:$D$51,2))</f>
      </c>
      <c r="W4" s="3">
        <f t="shared" si="2"/>
        <v>0</v>
      </c>
      <c r="X4" s="3">
        <f>IF($W4=0,"",VLOOKUP($W4,seznam!$A$2:$D$51,2))</f>
      </c>
      <c r="Y4" s="3">
        <f t="shared" si="3"/>
      </c>
      <c r="Z4" s="3">
        <f t="shared" si="4"/>
      </c>
      <c r="AB4" s="4">
        <f t="shared" si="5"/>
        <v>0</v>
      </c>
      <c r="AC4" s="4">
        <f t="shared" si="5"/>
        <v>0</v>
      </c>
      <c r="AD4" s="4">
        <f t="shared" si="5"/>
        <v>0</v>
      </c>
      <c r="AE4" s="4">
        <f t="shared" si="5"/>
        <v>0</v>
      </c>
      <c r="AF4" s="4">
        <f t="shared" si="5"/>
        <v>0</v>
      </c>
    </row>
    <row r="5" spans="1:32" ht="12.75">
      <c r="A5" s="98" t="str">
        <f t="shared" si="6"/>
        <v>Čtyřhra - osmifinále</v>
      </c>
      <c r="B5" s="3">
        <f>'KO double 16'!B16</f>
        <v>0</v>
      </c>
      <c r="C5" s="225">
        <f>IF($B5=0,"",VLOOKUP($B5,seznam!$A$2:$D$51,2))</f>
      </c>
      <c r="D5" s="3">
        <f>IF($B5=0,"",VLOOKUP($B5,seznam!$A$2:$D$51,4))</f>
      </c>
      <c r="E5" s="3">
        <f>'KO double 16'!B17</f>
      </c>
      <c r="F5" s="225">
        <f>IF($E5="","",VLOOKUP($E5,seznam!$A$2:$D$51,2))</f>
      </c>
      <c r="G5" s="3">
        <f>IF($E5="","",VLOOKUP($E5,seznam!$A$2:$D$51,4))</f>
      </c>
      <c r="H5" s="3">
        <f>'KO double 16'!B18</f>
        <v>5</v>
      </c>
      <c r="I5" s="225" t="str">
        <f>IF($H5=0,"",VLOOKUP($H5,seznam!$A$2:$D$51,2))</f>
        <v>Teska Tomáš</v>
      </c>
      <c r="J5" s="3" t="str">
        <f>IF($H5=0,"",VLOOKUP($H5,seznam!$A$2:$D$51,4))</f>
        <v>SKST Vlašim</v>
      </c>
      <c r="K5" s="3" t="e">
        <f>'KO double 16'!B19</f>
        <v>#REF!</v>
      </c>
      <c r="L5" s="225" t="e">
        <f>IF($K5="","",VLOOKUP($K5,seznam!$A$2:$D$51,2))</f>
        <v>#REF!</v>
      </c>
      <c r="M5" s="3" t="e">
        <f>IF($K5="","",VLOOKUP($K5,seznam!$A$2:$D$51,4))</f>
        <v>#REF!</v>
      </c>
      <c r="N5" s="229"/>
      <c r="O5" s="230"/>
      <c r="P5" s="230"/>
      <c r="Q5" s="230"/>
      <c r="R5" s="231"/>
      <c r="S5" s="3">
        <f t="shared" si="0"/>
        <v>0</v>
      </c>
      <c r="T5" s="3">
        <f t="shared" si="7"/>
        <v>0</v>
      </c>
      <c r="U5" s="3">
        <f t="shared" si="1"/>
        <v>0</v>
      </c>
      <c r="V5" s="3">
        <f>IF($U5=0,"",VLOOKUP($U5,seznam!$A$2:$D$51,2))</f>
      </c>
      <c r="W5" s="3">
        <f t="shared" si="2"/>
        <v>0</v>
      </c>
      <c r="X5" s="3">
        <f>IF($W5=0,"",VLOOKUP($W5,seznam!$A$2:$D$51,2))</f>
      </c>
      <c r="Y5" s="3">
        <f t="shared" si="3"/>
      </c>
      <c r="Z5" s="3">
        <f t="shared" si="4"/>
      </c>
      <c r="AB5" s="4">
        <f t="shared" si="5"/>
        <v>0</v>
      </c>
      <c r="AC5" s="4">
        <f t="shared" si="5"/>
        <v>0</v>
      </c>
      <c r="AD5" s="4">
        <f t="shared" si="5"/>
        <v>0</v>
      </c>
      <c r="AE5" s="4">
        <f t="shared" si="5"/>
        <v>0</v>
      </c>
      <c r="AF5" s="4">
        <f t="shared" si="5"/>
        <v>0</v>
      </c>
    </row>
    <row r="6" spans="1:32" ht="12.75">
      <c r="A6" s="98" t="str">
        <f t="shared" si="6"/>
        <v>Čtyřhra - osmifinále</v>
      </c>
      <c r="B6" s="3">
        <f>'KO double 16'!B20</f>
        <v>2</v>
      </c>
      <c r="C6" s="225" t="str">
        <f>IF($B6=0,"",VLOOKUP($B6,seznam!$A$2:$D$51,2))</f>
        <v>Štricová Niamh</v>
      </c>
      <c r="D6" s="3" t="str">
        <f>IF($B6=0,"",VLOOKUP($B6,seznam!$A$2:$D$51,4))</f>
        <v>STC Slaný</v>
      </c>
      <c r="E6" s="3" t="e">
        <f>'KO double 16'!B21</f>
        <v>#REF!</v>
      </c>
      <c r="F6" s="225" t="e">
        <f>IF($E6="","",VLOOKUP($E6,seznam!$A$2:$D$51,2))</f>
        <v>#REF!</v>
      </c>
      <c r="G6" s="3" t="e">
        <f>IF($E6="","",VLOOKUP($E6,seznam!$A$2:$D$51,4))</f>
        <v>#REF!</v>
      </c>
      <c r="H6" s="3">
        <f>'KO double 16'!B22</f>
        <v>0</v>
      </c>
      <c r="I6" s="225">
        <f>IF($H6=0,"",VLOOKUP($H6,seznam!$A$2:$D$51,2))</f>
      </c>
      <c r="J6" s="3">
        <f>IF($H6=0,"",VLOOKUP($H6,seznam!$A$2:$D$51,4))</f>
      </c>
      <c r="K6" s="3">
        <f>'KO double 16'!B23</f>
      </c>
      <c r="L6" s="225">
        <f>IF($K6="","",VLOOKUP($K6,seznam!$A$2:$D$51,2))</f>
      </c>
      <c r="M6" s="3">
        <f>IF($K6="","",VLOOKUP($K6,seznam!$A$2:$D$51,4))</f>
      </c>
      <c r="N6" s="229"/>
      <c r="O6" s="230"/>
      <c r="P6" s="230"/>
      <c r="Q6" s="230"/>
      <c r="R6" s="231"/>
      <c r="S6" s="3">
        <f t="shared" si="0"/>
        <v>0</v>
      </c>
      <c r="T6" s="3">
        <f t="shared" si="7"/>
        <v>0</v>
      </c>
      <c r="U6" s="3">
        <f t="shared" si="1"/>
        <v>0</v>
      </c>
      <c r="V6" s="3">
        <f>IF($U6=0,"",VLOOKUP($U6,seznam!$A$2:$D$51,2))</f>
      </c>
      <c r="W6" s="3">
        <f t="shared" si="2"/>
        <v>0</v>
      </c>
      <c r="X6" s="3">
        <f>IF($W6=0,"",VLOOKUP($W6,seznam!$A$2:$D$51,2))</f>
      </c>
      <c r="Y6" s="3">
        <f t="shared" si="3"/>
      </c>
      <c r="Z6" s="3">
        <f t="shared" si="4"/>
      </c>
      <c r="AB6" s="4">
        <f t="shared" si="5"/>
        <v>0</v>
      </c>
      <c r="AC6" s="4">
        <f t="shared" si="5"/>
        <v>0</v>
      </c>
      <c r="AD6" s="4">
        <f t="shared" si="5"/>
        <v>0</v>
      </c>
      <c r="AE6" s="4">
        <f t="shared" si="5"/>
        <v>0</v>
      </c>
      <c r="AF6" s="4">
        <f t="shared" si="5"/>
        <v>0</v>
      </c>
    </row>
    <row r="7" spans="1:32" ht="12.75">
      <c r="A7" s="98" t="str">
        <f t="shared" si="6"/>
        <v>Čtyřhra - osmifinále</v>
      </c>
      <c r="B7" s="3">
        <f>'KO double 16'!B24</f>
        <v>0</v>
      </c>
      <c r="C7" s="225">
        <f>IF($B7=0,"",VLOOKUP($B7,seznam!$A$2:$D$51,2))</f>
      </c>
      <c r="D7" s="3">
        <f>IF($B7=0,"",VLOOKUP($B7,seznam!$A$2:$D$51,4))</f>
      </c>
      <c r="E7" s="3">
        <f>'KO double 16'!B25</f>
      </c>
      <c r="F7" s="225">
        <f>IF($E7="","",VLOOKUP($E7,seznam!$A$2:$D$51,2))</f>
      </c>
      <c r="G7" s="3">
        <f>IF($E7="","",VLOOKUP($E7,seznam!$A$2:$D$51,4))</f>
      </c>
      <c r="H7" s="3">
        <f>'KO double 16'!B26</f>
        <v>10</v>
      </c>
      <c r="I7" s="225" t="str">
        <f>IF($H7=0,"",VLOOKUP($H7,seznam!$A$2:$D$51,2))</f>
        <v>Marat Filip</v>
      </c>
      <c r="J7" s="3" t="str">
        <f>IF($H7=0,"",VLOOKUP($H7,seznam!$A$2:$D$51,4))</f>
        <v>Sportovní Jižní Město</v>
      </c>
      <c r="K7" s="3" t="e">
        <f>'KO double 16'!B27</f>
        <v>#REF!</v>
      </c>
      <c r="L7" s="225" t="e">
        <f>IF($K7="","",VLOOKUP($K7,seznam!$A$2:$D$51,2))</f>
        <v>#REF!</v>
      </c>
      <c r="M7" s="3" t="e">
        <f>IF($K7="","",VLOOKUP($K7,seznam!$A$2:$D$51,4))</f>
        <v>#REF!</v>
      </c>
      <c r="N7" s="229"/>
      <c r="O7" s="230"/>
      <c r="P7" s="230"/>
      <c r="Q7" s="230"/>
      <c r="R7" s="231"/>
      <c r="S7" s="3">
        <f t="shared" si="0"/>
        <v>0</v>
      </c>
      <c r="T7" s="3">
        <f t="shared" si="7"/>
        <v>0</v>
      </c>
      <c r="U7" s="3">
        <f t="shared" si="1"/>
        <v>0</v>
      </c>
      <c r="V7" s="3">
        <f>IF($U7=0,"",VLOOKUP($U7,seznam!$A$2:$D$51,2))</f>
      </c>
      <c r="W7" s="3">
        <f t="shared" si="2"/>
        <v>0</v>
      </c>
      <c r="X7" s="3">
        <f>IF($W7=0,"",VLOOKUP($W7,seznam!$A$2:$D$51,2))</f>
      </c>
      <c r="Y7" s="3">
        <f t="shared" si="3"/>
      </c>
      <c r="Z7" s="3">
        <f t="shared" si="4"/>
      </c>
      <c r="AB7" s="4">
        <f t="shared" si="5"/>
        <v>0</v>
      </c>
      <c r="AC7" s="4">
        <f t="shared" si="5"/>
        <v>0</v>
      </c>
      <c r="AD7" s="4">
        <f t="shared" si="5"/>
        <v>0</v>
      </c>
      <c r="AE7" s="4">
        <f t="shared" si="5"/>
        <v>0</v>
      </c>
      <c r="AF7" s="4">
        <f t="shared" si="5"/>
        <v>0</v>
      </c>
    </row>
    <row r="8" spans="1:32" ht="12.75">
      <c r="A8" s="98" t="str">
        <f t="shared" si="6"/>
        <v>Čtyřhra - osmifinále</v>
      </c>
      <c r="B8" s="3">
        <f>'KO double 16'!B28</f>
        <v>11</v>
      </c>
      <c r="C8" s="225" t="str">
        <f>IF($B8=0,"",VLOOKUP($B8,seznam!$A$2:$D$51,2))</f>
        <v>Zeman Vítek</v>
      </c>
      <c r="D8" s="3" t="str">
        <f>IF($B8=0,"",VLOOKUP($B8,seznam!$A$2:$D$51,4))</f>
        <v>Sportovní Jižní Město</v>
      </c>
      <c r="E8" s="3" t="e">
        <f>'KO double 16'!B29</f>
        <v>#REF!</v>
      </c>
      <c r="F8" s="225" t="e">
        <f>IF($E8="","",VLOOKUP($E8,seznam!$A$2:$D$51,2))</f>
        <v>#REF!</v>
      </c>
      <c r="G8" s="3" t="e">
        <f>IF($E8="","",VLOOKUP($E8,seznam!$A$2:$D$51,4))</f>
        <v>#REF!</v>
      </c>
      <c r="H8" s="3">
        <f>'KO double 16'!B30</f>
        <v>0</v>
      </c>
      <c r="I8" s="225">
        <f>IF($H8=0,"",VLOOKUP($H8,seznam!$A$2:$D$51,2))</f>
      </c>
      <c r="J8" s="3">
        <f>IF($H8=0,"",VLOOKUP($H8,seznam!$A$2:$D$51,4))</f>
      </c>
      <c r="K8" s="3">
        <f>'KO double 16'!B31</f>
      </c>
      <c r="L8" s="225">
        <f>IF($K8="","",VLOOKUP($K8,seznam!$A$2:$D$51,2))</f>
      </c>
      <c r="M8" s="3">
        <f>IF($K8="","",VLOOKUP($K8,seznam!$A$2:$D$51,4))</f>
      </c>
      <c r="N8" s="229"/>
      <c r="O8" s="230"/>
      <c r="P8" s="230"/>
      <c r="Q8" s="230"/>
      <c r="R8" s="231"/>
      <c r="S8" s="3">
        <f t="shared" si="0"/>
        <v>0</v>
      </c>
      <c r="T8" s="3">
        <f t="shared" si="7"/>
        <v>0</v>
      </c>
      <c r="U8" s="3">
        <f t="shared" si="1"/>
        <v>0</v>
      </c>
      <c r="V8" s="3">
        <f>IF($U8=0,"",VLOOKUP($U8,seznam!$A$2:$D$51,2))</f>
      </c>
      <c r="W8" s="3">
        <f t="shared" si="2"/>
        <v>0</v>
      </c>
      <c r="X8" s="3">
        <f>IF($W8=0,"",VLOOKUP($W8,seznam!$A$2:$D$51,2))</f>
      </c>
      <c r="Y8" s="3">
        <f t="shared" si="3"/>
      </c>
      <c r="Z8" s="3">
        <f t="shared" si="4"/>
      </c>
      <c r="AB8" s="4">
        <f t="shared" si="5"/>
        <v>0</v>
      </c>
      <c r="AC8" s="4">
        <f t="shared" si="5"/>
        <v>0</v>
      </c>
      <c r="AD8" s="4">
        <f t="shared" si="5"/>
        <v>0</v>
      </c>
      <c r="AE8" s="4">
        <f t="shared" si="5"/>
        <v>0</v>
      </c>
      <c r="AF8" s="4">
        <f t="shared" si="5"/>
        <v>0</v>
      </c>
    </row>
    <row r="9" spans="1:32" ht="13.5" thickBot="1">
      <c r="A9" s="98" t="str">
        <f t="shared" si="6"/>
        <v>Čtyřhra - osmifinále</v>
      </c>
      <c r="B9" s="3">
        <f>'KO double 16'!B32</f>
        <v>0</v>
      </c>
      <c r="C9" s="225">
        <f>IF($B9=0,"",VLOOKUP($B9,seznam!$A$2:$D$51,2))</f>
      </c>
      <c r="D9" s="3">
        <f>IF($B9=0,"",VLOOKUP($B9,seznam!$A$2:$D$51,4))</f>
      </c>
      <c r="E9" s="3">
        <f>'KO double 16'!B33</f>
      </c>
      <c r="F9" s="225">
        <f>IF($E9="","",VLOOKUP($E9,seznam!$A$2:$D$51,2))</f>
      </c>
      <c r="G9" s="3">
        <f>IF($E9="","",VLOOKUP($E9,seznam!$A$2:$D$51,4))</f>
      </c>
      <c r="H9" s="3">
        <f>'KO double 16'!B34</f>
        <v>1</v>
      </c>
      <c r="I9" s="225" t="str">
        <f>IF($H9=0,"",VLOOKUP($H9,seznam!$A$2:$D$51,2))</f>
        <v>Krameš Jan</v>
      </c>
      <c r="J9" s="3" t="str">
        <f>IF($H9=0,"",VLOOKUP($H9,seznam!$A$2:$D$51,4))</f>
        <v>Lokomotiva Vršovice</v>
      </c>
      <c r="K9" s="3" t="e">
        <f>'KO double 16'!B35</f>
        <v>#REF!</v>
      </c>
      <c r="L9" s="225" t="e">
        <f>IF($K9="","",VLOOKUP($K9,seznam!$A$2:$D$51,2))</f>
        <v>#REF!</v>
      </c>
      <c r="M9" s="3" t="e">
        <f>IF($K9="","",VLOOKUP($K9,seznam!$A$2:$D$51,4))</f>
        <v>#REF!</v>
      </c>
      <c r="N9" s="232"/>
      <c r="O9" s="233"/>
      <c r="P9" s="233"/>
      <c r="Q9" s="233"/>
      <c r="R9" s="234"/>
      <c r="S9" s="3">
        <f>COUNTIF(AB9:AF9,"&gt;0")</f>
        <v>0</v>
      </c>
      <c r="T9" s="3">
        <f t="shared" si="7"/>
        <v>0</v>
      </c>
      <c r="U9" s="3">
        <f t="shared" si="1"/>
        <v>0</v>
      </c>
      <c r="V9" s="3">
        <f>IF($U9=0,"",VLOOKUP($U9,seznam!$A$2:$D$51,2))</f>
      </c>
      <c r="W9" s="3">
        <f t="shared" si="2"/>
        <v>0</v>
      </c>
      <c r="X9" s="3">
        <f>IF($W9=0,"",VLOOKUP($W9,seznam!$A$2:$D$51,2))</f>
      </c>
      <c r="Y9" s="3">
        <f t="shared" si="3"/>
      </c>
      <c r="Z9" s="3">
        <f t="shared" si="4"/>
      </c>
      <c r="AB9" s="4">
        <f t="shared" si="5"/>
        <v>0</v>
      </c>
      <c r="AC9" s="4">
        <f t="shared" si="5"/>
        <v>0</v>
      </c>
      <c r="AD9" s="4">
        <f t="shared" si="5"/>
        <v>0</v>
      </c>
      <c r="AE9" s="4">
        <f t="shared" si="5"/>
        <v>0</v>
      </c>
      <c r="AF9" s="4">
        <f t="shared" si="5"/>
        <v>0</v>
      </c>
    </row>
    <row r="10" spans="14:18" ht="14.25" thickBot="1" thickTop="1">
      <c r="N10" s="62"/>
      <c r="O10" s="62"/>
      <c r="P10" s="62"/>
      <c r="Q10" s="62"/>
      <c r="R10" s="62"/>
    </row>
    <row r="11" spans="1:32" ht="13.5" thickTop="1">
      <c r="A11" s="98" t="str">
        <f>CONCATENATE("Čtyřhra - čtvrtfinále")</f>
        <v>Čtyřhra - čtvrtfinále</v>
      </c>
      <c r="B11" s="3">
        <f>U2</f>
        <v>0</v>
      </c>
      <c r="C11" s="225">
        <f>IF($B11=0,"",VLOOKUP($B11,seznam!$A$2:$D$51,2))</f>
      </c>
      <c r="D11" s="3">
        <f>IF($B11=0,"",VLOOKUP($B11,seznam!$A$2:$D$51,4))</f>
      </c>
      <c r="E11" s="3">
        <f>W2</f>
        <v>0</v>
      </c>
      <c r="F11" s="225">
        <f>IF($E11=0,"",VLOOKUP($E11,seznam!$A$2:$D$51,2))</f>
      </c>
      <c r="G11" s="3">
        <f>IF($E11=0,"",VLOOKUP($E11,seznam!$A$2:$D$51,4))</f>
      </c>
      <c r="H11" s="3">
        <f>U3</f>
        <v>0</v>
      </c>
      <c r="I11" s="225">
        <f>IF($H11=0,"",VLOOKUP($H11,seznam!$A$2:$D$51,2))</f>
      </c>
      <c r="J11" s="3">
        <f>IF($H11=0,"",VLOOKUP($H11,seznam!$A$2:$D$51,4))</f>
      </c>
      <c r="K11" s="3">
        <f>W3</f>
        <v>0</v>
      </c>
      <c r="L11" s="225">
        <f>IF($K11=0,"",VLOOKUP($K11,seznam!$A$2:$D$51,2))</f>
      </c>
      <c r="M11" s="3">
        <f>IF($K11=0,"",VLOOKUP($K11,seznam!$A$2:$D$51,4))</f>
      </c>
      <c r="N11" s="226"/>
      <c r="O11" s="227"/>
      <c r="P11" s="227"/>
      <c r="Q11" s="227"/>
      <c r="R11" s="228"/>
      <c r="S11" s="3">
        <f aca="true" t="shared" si="8" ref="S11:S19">COUNTIF(AB11:AF11,"&gt;0")</f>
        <v>0</v>
      </c>
      <c r="T11" s="3">
        <f t="shared" si="7"/>
        <v>0</v>
      </c>
      <c r="U11" s="3">
        <f>IF(S11=T11,0,IF(S11&gt;T11,B11,H11))</f>
        <v>0</v>
      </c>
      <c r="V11" s="3">
        <f>IF($U11=0,"",VLOOKUP($U11,seznam!$A$2:$D$51,2))</f>
      </c>
      <c r="W11" s="3">
        <f>IF(S11=T11,0,IF(S11&gt;T11,E11,K11))</f>
        <v>0</v>
      </c>
      <c r="X11" s="3">
        <f>IF($W11=0,"",VLOOKUP($W11,seznam!$A$2:$D$51,2))</f>
      </c>
      <c r="Y11" s="3">
        <f>IF(S11=T11,"",IF(S11&gt;T11,CONCATENATE(S11,":",T11," (",N11,",",O11,",",P11,IF(SUM(S11:T11)&gt;3,",",""),Q11,IF(SUM(S11:T11)&gt;4,",",""),R11,")"),CONCATENATE(T11,":",S11," (",-N11,",",-O11,",",-P11,IF(SUM(S11:T11)&gt;3,",",""),IF(SUM(S11:T11)&gt;3,-Q11,""),IF(SUM(S11:T11)&gt;4,",",""),IF(SUM(S11:T11)&gt;4,-R11,""),")")))</f>
      </c>
      <c r="Z11" s="3">
        <f>IF(MAX(S11:T11)=3,Y11,"")</f>
      </c>
      <c r="AB11" s="4">
        <f aca="true" t="shared" si="9" ref="AB11:AF14">IF(N11="",0,IF(MID(N11,1,1)="-",-1,1))</f>
        <v>0</v>
      </c>
      <c r="AC11" s="4">
        <f t="shared" si="9"/>
        <v>0</v>
      </c>
      <c r="AD11" s="4">
        <f t="shared" si="9"/>
        <v>0</v>
      </c>
      <c r="AE11" s="4">
        <f t="shared" si="9"/>
        <v>0</v>
      </c>
      <c r="AF11" s="4">
        <f t="shared" si="9"/>
        <v>0</v>
      </c>
    </row>
    <row r="12" spans="1:32" ht="12.75">
      <c r="A12" s="98" t="str">
        <f>CONCATENATE("Čtyřhra - čtvrtfinále")</f>
        <v>Čtyřhra - čtvrtfinále</v>
      </c>
      <c r="B12" s="3">
        <f>U4</f>
        <v>0</v>
      </c>
      <c r="C12" s="225">
        <f>IF($B12=0,"",VLOOKUP($B12,seznam!$A$2:$D$51,2))</f>
      </c>
      <c r="D12" s="3">
        <f>IF($B12=0,"",VLOOKUP($B12,seznam!$A$2:$D$51,4))</f>
      </c>
      <c r="E12" s="3">
        <f>W4</f>
        <v>0</v>
      </c>
      <c r="F12" s="225">
        <f>IF($E12=0,"",VLOOKUP($E12,seznam!$A$2:$D$51,2))</f>
      </c>
      <c r="G12" s="3">
        <f>IF($E12=0,"",VLOOKUP($E12,seznam!$A$2:$D$51,4))</f>
      </c>
      <c r="H12" s="3">
        <f>U5</f>
        <v>0</v>
      </c>
      <c r="I12" s="225">
        <f>IF($H12=0,"",VLOOKUP($H12,seznam!$A$2:$D$51,2))</f>
      </c>
      <c r="J12" s="3">
        <f>IF($H12=0,"",VLOOKUP($H12,seznam!$A$2:$D$51,4))</f>
      </c>
      <c r="K12" s="3">
        <f>W5</f>
        <v>0</v>
      </c>
      <c r="L12" s="225">
        <f>IF($K12=0,"",VLOOKUP($K12,seznam!$A$2:$D$51,2))</f>
      </c>
      <c r="M12" s="3">
        <f>IF($K12=0,"",VLOOKUP($K12,seznam!$A$2:$D$51,4))</f>
      </c>
      <c r="N12" s="229"/>
      <c r="O12" s="230"/>
      <c r="P12" s="230"/>
      <c r="Q12" s="230"/>
      <c r="R12" s="231"/>
      <c r="S12" s="3">
        <f t="shared" si="8"/>
        <v>0</v>
      </c>
      <c r="T12" s="3">
        <f t="shared" si="7"/>
        <v>0</v>
      </c>
      <c r="U12" s="3">
        <f>IF(S12=T12,0,IF(S12&gt;T12,B12,H12))</f>
        <v>0</v>
      </c>
      <c r="V12" s="3">
        <f>IF($U12=0,"",VLOOKUP($U12,seznam!$A$2:$D$51,2))</f>
      </c>
      <c r="W12" s="3">
        <f>IF(S12=T12,0,IF(S12&gt;T12,E12,K12))</f>
        <v>0</v>
      </c>
      <c r="X12" s="3">
        <f>IF($W12=0,"",VLOOKUP($W12,seznam!$A$2:$D$51,2))</f>
      </c>
      <c r="Y12" s="3">
        <f>IF(S12=T12,"",IF(S12&gt;T12,CONCATENATE(S12,":",T12," (",N12,",",O12,",",P12,IF(SUM(S12:T12)&gt;3,",",""),Q12,IF(SUM(S12:T12)&gt;4,",",""),R12,")"),CONCATENATE(T12,":",S12," (",-N12,",",-O12,",",-P12,IF(SUM(S12:T12)&gt;3,",",""),IF(SUM(S12:T12)&gt;3,-Q12,""),IF(SUM(S12:T12)&gt;4,",",""),IF(SUM(S12:T12)&gt;4,-R12,""),")")))</f>
      </c>
      <c r="Z12" s="3">
        <f>IF(MAX(S12:T12)=3,Y12,"")</f>
      </c>
      <c r="AB12" s="4">
        <f t="shared" si="9"/>
        <v>0</v>
      </c>
      <c r="AC12" s="4">
        <f t="shared" si="9"/>
        <v>0</v>
      </c>
      <c r="AD12" s="4">
        <f t="shared" si="9"/>
        <v>0</v>
      </c>
      <c r="AE12" s="4">
        <f t="shared" si="9"/>
        <v>0</v>
      </c>
      <c r="AF12" s="4">
        <f t="shared" si="9"/>
        <v>0</v>
      </c>
    </row>
    <row r="13" spans="1:32" ht="12.75">
      <c r="A13" s="98" t="str">
        <f>CONCATENATE("Čtyřhra - čtvrtfinále")</f>
        <v>Čtyřhra - čtvrtfinále</v>
      </c>
      <c r="B13" s="3">
        <f>U6</f>
        <v>0</v>
      </c>
      <c r="C13" s="225">
        <f>IF($B13=0,"",VLOOKUP($B13,seznam!$A$2:$D$51,2))</f>
      </c>
      <c r="D13" s="3">
        <f>IF($B13=0,"",VLOOKUP($B13,seznam!$A$2:$D$51,4))</f>
      </c>
      <c r="E13" s="3">
        <f>W6</f>
        <v>0</v>
      </c>
      <c r="F13" s="225">
        <f>IF($E13=0,"",VLOOKUP($E13,seznam!$A$2:$D$51,2))</f>
      </c>
      <c r="G13" s="3">
        <f>IF($E13=0,"",VLOOKUP($E13,seznam!$A$2:$D$51,4))</f>
      </c>
      <c r="H13" s="3">
        <f>U7</f>
        <v>0</v>
      </c>
      <c r="I13" s="225">
        <f>IF($H13=0,"",VLOOKUP($H13,seznam!$A$2:$D$51,2))</f>
      </c>
      <c r="J13" s="3">
        <f>IF($H13=0,"",VLOOKUP($H13,seznam!$A$2:$D$51,4))</f>
      </c>
      <c r="K13" s="3">
        <f>W7</f>
        <v>0</v>
      </c>
      <c r="L13" s="225">
        <f>IF($K13=0,"",VLOOKUP($K13,seznam!$A$2:$D$51,2))</f>
      </c>
      <c r="M13" s="3">
        <f>IF($K13=0,"",VLOOKUP($K13,seznam!$A$2:$D$51,4))</f>
      </c>
      <c r="N13" s="229"/>
      <c r="O13" s="230"/>
      <c r="P13" s="230"/>
      <c r="Q13" s="230"/>
      <c r="R13" s="231"/>
      <c r="S13" s="3">
        <f t="shared" si="8"/>
        <v>0</v>
      </c>
      <c r="T13" s="3">
        <f t="shared" si="7"/>
        <v>0</v>
      </c>
      <c r="U13" s="3">
        <f>IF(S13=T13,0,IF(S13&gt;T13,B13,H13))</f>
        <v>0</v>
      </c>
      <c r="V13" s="3">
        <f>IF($U13=0,"",VLOOKUP($U13,seznam!$A$2:$D$51,2))</f>
      </c>
      <c r="W13" s="3">
        <f>IF(S13=T13,0,IF(S13&gt;T13,E13,K13))</f>
        <v>0</v>
      </c>
      <c r="X13" s="3">
        <f>IF($W13=0,"",VLOOKUP($W13,seznam!$A$2:$D$51,2))</f>
      </c>
      <c r="Y13" s="3">
        <f>IF(S13=T13,"",IF(S13&gt;T13,CONCATENATE(S13,":",T13," (",N13,",",O13,",",P13,IF(SUM(S13:T13)&gt;3,",",""),Q13,IF(SUM(S13:T13)&gt;4,",",""),R13,")"),CONCATENATE(T13,":",S13," (",-N13,",",-O13,",",-P13,IF(SUM(S13:T13)&gt;3,",",""),IF(SUM(S13:T13)&gt;3,-Q13,""),IF(SUM(S13:T13)&gt;4,",",""),IF(SUM(S13:T13)&gt;4,-R13,""),")")))</f>
      </c>
      <c r="Z13" s="3">
        <f>IF(MAX(S13:T13)=3,Y13,"")</f>
      </c>
      <c r="AB13" s="4">
        <f t="shared" si="9"/>
        <v>0</v>
      </c>
      <c r="AC13" s="4">
        <f t="shared" si="9"/>
        <v>0</v>
      </c>
      <c r="AD13" s="4">
        <f t="shared" si="9"/>
        <v>0</v>
      </c>
      <c r="AE13" s="4">
        <f t="shared" si="9"/>
        <v>0</v>
      </c>
      <c r="AF13" s="4">
        <f t="shared" si="9"/>
        <v>0</v>
      </c>
    </row>
    <row r="14" spans="1:32" ht="13.5" thickBot="1">
      <c r="A14" s="98" t="str">
        <f>CONCATENATE("Čtyřhra - čtvrtfinále")</f>
        <v>Čtyřhra - čtvrtfinále</v>
      </c>
      <c r="B14" s="3">
        <f>U8</f>
        <v>0</v>
      </c>
      <c r="C14" s="225">
        <f>IF($B14=0,"",VLOOKUP($B14,seznam!$A$2:$D$51,2))</f>
      </c>
      <c r="D14" s="3">
        <f>IF($B14=0,"",VLOOKUP($B14,seznam!$A$2:$D$51,4))</f>
      </c>
      <c r="E14" s="3">
        <f>W8</f>
        <v>0</v>
      </c>
      <c r="F14" s="225">
        <f>IF($E14=0,"",VLOOKUP($E14,seznam!$A$2:$D$51,2))</f>
      </c>
      <c r="G14" s="3">
        <f>IF($E14=0,"",VLOOKUP($E14,seznam!$A$2:$D$51,4))</f>
      </c>
      <c r="H14" s="3">
        <f>U9</f>
        <v>0</v>
      </c>
      <c r="I14" s="225">
        <f>IF($H14=0,"",VLOOKUP($H14,seznam!$A$2:$D$51,2))</f>
      </c>
      <c r="J14" s="3">
        <f>IF($H14=0,"",VLOOKUP($H14,seznam!$A$2:$D$51,4))</f>
      </c>
      <c r="K14" s="3">
        <f>W9</f>
        <v>0</v>
      </c>
      <c r="L14" s="225">
        <f>IF($K14=0,"",VLOOKUP($K14,seznam!$A$2:$D$51,2))</f>
      </c>
      <c r="M14" s="3">
        <f>IF($K14=0,"",VLOOKUP($K14,seznam!$A$2:$D$51,4))</f>
      </c>
      <c r="N14" s="232"/>
      <c r="O14" s="233"/>
      <c r="P14" s="233"/>
      <c r="Q14" s="233"/>
      <c r="R14" s="234"/>
      <c r="S14" s="3">
        <f t="shared" si="8"/>
        <v>0</v>
      </c>
      <c r="T14" s="3">
        <f t="shared" si="7"/>
        <v>0</v>
      </c>
      <c r="U14" s="3">
        <f>IF(S14=T14,0,IF(S14&gt;T14,B14,H14))</f>
        <v>0</v>
      </c>
      <c r="V14" s="3">
        <f>IF($U14=0,"",VLOOKUP($U14,seznam!$A$2:$D$51,2))</f>
      </c>
      <c r="W14" s="3">
        <f>IF(S14=T14,0,IF(S14&gt;T14,E14,K14))</f>
        <v>0</v>
      </c>
      <c r="X14" s="3">
        <f>IF($W14=0,"",VLOOKUP($W14,seznam!$A$2:$D$51,2))</f>
      </c>
      <c r="Y14" s="3">
        <f>IF(S14=T14,"",IF(S14&gt;T14,CONCATENATE(S14,":",T14," (",N14,",",O14,",",P14,IF(SUM(S14:T14)&gt;3,",",""),Q14,IF(SUM(S14:T14)&gt;4,",",""),R14,")"),CONCATENATE(T14,":",S14," (",-N14,",",-O14,",",-P14,IF(SUM(S14:T14)&gt;3,",",""),IF(SUM(S14:T14)&gt;3,-Q14,""),IF(SUM(S14:T14)&gt;4,",",""),IF(SUM(S14:T14)&gt;4,-R14,""),")")))</f>
      </c>
      <c r="Z14" s="3">
        <f>IF(MAX(S14:T14)=3,Y14,"")</f>
      </c>
      <c r="AB14" s="4">
        <f t="shared" si="9"/>
        <v>0</v>
      </c>
      <c r="AC14" s="4">
        <f t="shared" si="9"/>
        <v>0</v>
      </c>
      <c r="AD14" s="4">
        <f t="shared" si="9"/>
        <v>0</v>
      </c>
      <c r="AE14" s="4">
        <f t="shared" si="9"/>
        <v>0</v>
      </c>
      <c r="AF14" s="4">
        <f t="shared" si="9"/>
        <v>0</v>
      </c>
    </row>
    <row r="15" spans="14:18" ht="14.25" thickBot="1" thickTop="1">
      <c r="N15" s="62"/>
      <c r="O15" s="62"/>
      <c r="P15" s="62"/>
      <c r="Q15" s="62"/>
      <c r="R15" s="62"/>
    </row>
    <row r="16" spans="1:32" ht="13.5" thickTop="1">
      <c r="A16" s="98" t="str">
        <f>CONCATENATE("Čtyřhra - semifinále")</f>
        <v>Čtyřhra - semifinále</v>
      </c>
      <c r="B16" s="3">
        <f>U11</f>
        <v>0</v>
      </c>
      <c r="C16" s="225">
        <f>IF($B16=0,"",VLOOKUP($B16,seznam!$A$2:$D$51,2))</f>
      </c>
      <c r="D16" s="3">
        <f>IF($B16=0,"",VLOOKUP($B16,seznam!$A$2:$D$51,4))</f>
      </c>
      <c r="E16" s="3">
        <f>W11</f>
        <v>0</v>
      </c>
      <c r="F16" s="225">
        <f>IF($E16=0,"",VLOOKUP($E16,seznam!$A$2:$D$51,2))</f>
      </c>
      <c r="G16" s="3">
        <f>IF($E16=0,"",VLOOKUP($E16,seznam!$A$2:$D$51,4))</f>
      </c>
      <c r="H16" s="3">
        <f>U12</f>
        <v>0</v>
      </c>
      <c r="I16" s="225">
        <f>IF($H16=0,"",VLOOKUP($H16,seznam!$A$2:$D$51,2))</f>
      </c>
      <c r="J16" s="3">
        <f>IF($H16=0,"",VLOOKUP($H16,seznam!$A$2:$D$51,4))</f>
      </c>
      <c r="K16" s="3">
        <f>W12</f>
        <v>0</v>
      </c>
      <c r="L16" s="225">
        <f>IF($K16=0,"",VLOOKUP($K16,seznam!$A$2:$D$51,2))</f>
      </c>
      <c r="M16" s="3">
        <f>IF($K16=0,"",VLOOKUP($K16,seznam!$A$2:$D$51,4))</f>
      </c>
      <c r="N16" s="226"/>
      <c r="O16" s="227"/>
      <c r="P16" s="227"/>
      <c r="Q16" s="227"/>
      <c r="R16" s="228"/>
      <c r="S16" s="3">
        <f t="shared" si="8"/>
        <v>0</v>
      </c>
      <c r="T16" s="3">
        <f t="shared" si="7"/>
        <v>0</v>
      </c>
      <c r="U16" s="3">
        <f>IF(S16=T16,0,IF(S16&gt;T16,B16,H16))</f>
        <v>0</v>
      </c>
      <c r="V16" s="3">
        <f>IF($U16=0,"",VLOOKUP($U16,seznam!$A$2:$D$51,2))</f>
      </c>
      <c r="W16" s="3">
        <f>IF(S16=T16,0,IF(S16&gt;T16,E16,K16))</f>
        <v>0</v>
      </c>
      <c r="X16" s="3">
        <f>IF($W16=0,"",VLOOKUP($W16,seznam!$A$2:$D$51,2))</f>
      </c>
      <c r="Y16" s="3">
        <f>IF(S16=T16,"",IF(S16&gt;T16,CONCATENATE(S16,":",T16," (",N16,",",O16,",",P16,IF(SUM(S16:T16)&gt;3,",",""),Q16,IF(SUM(S16:T16)&gt;4,",",""),R16,")"),CONCATENATE(T16,":",S16," (",-N16,",",-O16,",",-P16,IF(SUM(S16:T16)&gt;3,",",""),IF(SUM(S16:T16)&gt;3,-Q16,""),IF(SUM(S16:T16)&gt;4,",",""),IF(SUM(S16:T16)&gt;4,-R16,""),")")))</f>
      </c>
      <c r="Z16" s="3">
        <f>IF(MAX(S16:T16)=3,Y16,"")</f>
      </c>
      <c r="AB16" s="4">
        <f aca="true" t="shared" si="10" ref="AB16:AF17">IF(N16="",0,IF(MID(N16,1,1)="-",-1,1))</f>
        <v>0</v>
      </c>
      <c r="AC16" s="4">
        <f t="shared" si="10"/>
        <v>0</v>
      </c>
      <c r="AD16" s="4">
        <f t="shared" si="10"/>
        <v>0</v>
      </c>
      <c r="AE16" s="4">
        <f t="shared" si="10"/>
        <v>0</v>
      </c>
      <c r="AF16" s="4">
        <f t="shared" si="10"/>
        <v>0</v>
      </c>
    </row>
    <row r="17" spans="1:32" ht="13.5" thickBot="1">
      <c r="A17" s="98" t="str">
        <f>CONCATENATE("Čtyřhra - semifinále")</f>
        <v>Čtyřhra - semifinále</v>
      </c>
      <c r="B17" s="3">
        <f>U13</f>
        <v>0</v>
      </c>
      <c r="C17" s="225">
        <f>IF($B17=0,"",VLOOKUP($B17,seznam!$A$2:$D$51,2))</f>
      </c>
      <c r="D17" s="3">
        <f>IF($B17=0,"",VLOOKUP($B17,seznam!$A$2:$D$51,4))</f>
      </c>
      <c r="E17" s="3">
        <f>W13</f>
        <v>0</v>
      </c>
      <c r="F17" s="225">
        <f>IF($E17=0,"",VLOOKUP($E17,seznam!$A$2:$D$51,2))</f>
      </c>
      <c r="G17" s="3">
        <f>IF($E17=0,"",VLOOKUP($E17,seznam!$A$2:$D$51,4))</f>
      </c>
      <c r="H17" s="3">
        <f>U14</f>
        <v>0</v>
      </c>
      <c r="I17" s="225">
        <f>IF($H17=0,"",VLOOKUP($H17,seznam!$A$2:$D$51,2))</f>
      </c>
      <c r="J17" s="3">
        <f>IF($H17=0,"",VLOOKUP($H17,seznam!$A$2:$D$51,4))</f>
      </c>
      <c r="K17" s="3">
        <f>W14</f>
        <v>0</v>
      </c>
      <c r="L17" s="225">
        <f>IF($K17=0,"",VLOOKUP($K17,seznam!$A$2:$D$51,2))</f>
      </c>
      <c r="M17" s="3">
        <f>IF($K17=0,"",VLOOKUP($K17,seznam!$A$2:$D$51,4))</f>
      </c>
      <c r="N17" s="232"/>
      <c r="O17" s="233"/>
      <c r="P17" s="233"/>
      <c r="Q17" s="233"/>
      <c r="R17" s="234"/>
      <c r="S17" s="3">
        <f t="shared" si="8"/>
        <v>0</v>
      </c>
      <c r="T17" s="3">
        <f t="shared" si="7"/>
        <v>0</v>
      </c>
      <c r="U17" s="3">
        <f>IF(S17=T17,0,IF(S17&gt;T17,B17,H17))</f>
        <v>0</v>
      </c>
      <c r="V17" s="3">
        <f>IF($U17=0,"",VLOOKUP($U17,seznam!$A$2:$D$51,2))</f>
      </c>
      <c r="W17" s="3">
        <f>IF(S17=T17,0,IF(S17&gt;T17,E17,K17))</f>
        <v>0</v>
      </c>
      <c r="X17" s="3">
        <f>IF($W17=0,"",VLOOKUP($W17,seznam!$A$2:$D$51,2))</f>
      </c>
      <c r="Y17" s="3">
        <f>IF(S17=T17,"",IF(S17&gt;T17,CONCATENATE(S17,":",T17," (",N17,",",O17,",",P17,IF(SUM(S17:T17)&gt;3,",",""),Q17,IF(SUM(S17:T17)&gt;4,",",""),R17,")"),CONCATENATE(T17,":",S17," (",-N17,",",-O17,",",-P17,IF(SUM(S17:T17)&gt;3,",",""),IF(SUM(S17:T17)&gt;3,-Q17,""),IF(SUM(S17:T17)&gt;4,",",""),IF(SUM(S17:T17)&gt;4,-R17,""),")")))</f>
      </c>
      <c r="Z17" s="3">
        <f>IF(MAX(S17:T17)=3,Y17,"")</f>
      </c>
      <c r="AB17" s="4">
        <f t="shared" si="10"/>
        <v>0</v>
      </c>
      <c r="AC17" s="4">
        <f t="shared" si="10"/>
        <v>0</v>
      </c>
      <c r="AD17" s="4">
        <f t="shared" si="10"/>
        <v>0</v>
      </c>
      <c r="AE17" s="4">
        <f t="shared" si="10"/>
        <v>0</v>
      </c>
      <c r="AF17" s="4">
        <f t="shared" si="10"/>
        <v>0</v>
      </c>
    </row>
    <row r="18" ht="14.25" thickBot="1" thickTop="1">
      <c r="N18" s="63"/>
    </row>
    <row r="19" spans="1:32" ht="14.25" thickBot="1" thickTop="1">
      <c r="A19" s="98" t="str">
        <f>CONCATENATE("Čtyřhra - finále")</f>
        <v>Čtyřhra - finále</v>
      </c>
      <c r="B19" s="3">
        <f>U16</f>
        <v>0</v>
      </c>
      <c r="C19" s="225">
        <f>IF($B19=0,"",VLOOKUP($B19,seznam!$A$2:$D$51,2))</f>
      </c>
      <c r="D19" s="3">
        <f>IF($B19=0,"",VLOOKUP($B19,seznam!$A$2:$D$51,4))</f>
      </c>
      <c r="E19" s="3">
        <f>W16</f>
        <v>0</v>
      </c>
      <c r="F19" s="225">
        <f>IF($E19=0,"",VLOOKUP($E19,seznam!$A$2:$D$51,2))</f>
      </c>
      <c r="G19" s="3">
        <f>IF($E19=0,"",VLOOKUP($E19,seznam!$A$2:$D$51,4))</f>
      </c>
      <c r="H19" s="3">
        <f>U17</f>
        <v>0</v>
      </c>
      <c r="I19" s="225">
        <f>IF($H19=0,"",VLOOKUP($H19,seznam!$A$2:$D$51,2))</f>
      </c>
      <c r="J19" s="3">
        <f>IF($H19=0,"",VLOOKUP($H19,seznam!$A$2:$D$51,4))</f>
      </c>
      <c r="K19" s="3">
        <f>W17</f>
        <v>0</v>
      </c>
      <c r="L19" s="225">
        <f>IF($K19=0,"",VLOOKUP($K19,seznam!$A$2:$D$51,2))</f>
      </c>
      <c r="M19" s="3">
        <f>IF($K19=0,"",VLOOKUP($K19,seznam!$A$2:$D$51,4))</f>
      </c>
      <c r="N19" s="235"/>
      <c r="O19" s="236"/>
      <c r="P19" s="236"/>
      <c r="Q19" s="236"/>
      <c r="R19" s="237"/>
      <c r="S19" s="3">
        <f t="shared" si="8"/>
        <v>0</v>
      </c>
      <c r="T19" s="3">
        <f t="shared" si="7"/>
        <v>0</v>
      </c>
      <c r="U19" s="3">
        <f>IF(S19=T19,0,IF(S19&gt;T19,B19,H19))</f>
        <v>0</v>
      </c>
      <c r="V19" s="3">
        <f>IF($U19=0,"",VLOOKUP($U19,seznam!$A$2:$D$51,2))</f>
      </c>
      <c r="W19" s="3">
        <f>IF(S19=T19,0,IF(S19&gt;T19,E19,K19))</f>
        <v>0</v>
      </c>
      <c r="X19" s="3">
        <f>IF($W19=0,"",VLOOKUP($W19,seznam!$A$2:$D$51,2))</f>
      </c>
      <c r="Y19" s="3">
        <f>IF(S19=T19,"",IF(S19&gt;T19,CONCATENATE(S19,":",T19," (",N19,",",O19,",",P19,IF(SUM(S19:T19)&gt;3,",",""),Q19,IF(SUM(S19:T19)&gt;4,",",""),R19,")"),CONCATENATE(T19,":",S19," (",-N19,",",-O19,",",-P19,IF(SUM(S19:T19)&gt;3,",",""),IF(SUM(S19:T19)&gt;3,-Q19,""),IF(SUM(S19:T19)&gt;4,",",""),IF(SUM(S19:T19)&gt;4,-R19,""),")")))</f>
      </c>
      <c r="Z19" s="3">
        <f>IF(MAX(S19:T19)=3,Y19,"")</f>
      </c>
      <c r="AB19" s="4">
        <f>IF(N19="",0,IF(MID(N19,1,1)="-",-1,1))</f>
        <v>0</v>
      </c>
      <c r="AC19" s="4">
        <f>IF(O19="",0,IF(MID(O19,1,1)="-",-1,1))</f>
        <v>0</v>
      </c>
      <c r="AD19" s="4">
        <f>IF(P19="",0,IF(MID(P19,1,1)="-",-1,1))</f>
        <v>0</v>
      </c>
      <c r="AE19" s="4">
        <f>IF(Q19="",0,IF(MID(Q19,1,1)="-",-1,1))</f>
        <v>0</v>
      </c>
      <c r="AF19" s="4">
        <f>IF(R19="",0,IF(MID(R19,1,1)="-",-1,1))</f>
        <v>0</v>
      </c>
    </row>
    <row r="20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5" customHeight="1"/>
  <cols>
    <col min="1" max="1" width="3.375" style="4" customWidth="1"/>
    <col min="2" max="2" width="31.125" style="4" bestFit="1" customWidth="1"/>
    <col min="3" max="3" width="4.875" style="4" customWidth="1"/>
    <col min="4" max="9" width="5.00390625" style="4" customWidth="1"/>
    <col min="10" max="10" width="1.625" style="4" customWidth="1"/>
    <col min="11" max="11" width="30.875" style="4" bestFit="1" customWidth="1"/>
    <col min="12" max="12" width="19.625" style="4" customWidth="1"/>
    <col min="13" max="13" width="4.375" style="4" customWidth="1"/>
    <col min="14" max="14" width="24.125" style="4" bestFit="1" customWidth="1"/>
    <col min="15" max="15" width="5.25390625" style="4" bestFit="1" customWidth="1"/>
    <col min="16" max="16" width="14.375" style="4" bestFit="1" customWidth="1"/>
    <col min="17" max="17" width="17.25390625" style="4" bestFit="1" customWidth="1"/>
    <col min="18" max="18" width="4.75390625" style="4" bestFit="1" customWidth="1"/>
    <col min="19" max="19" width="10.875" style="4" bestFit="1" customWidth="1"/>
    <col min="20" max="20" width="17.25390625" style="4" bestFit="1" customWidth="1"/>
    <col min="21" max="25" width="5.00390625" style="4" bestFit="1" customWidth="1"/>
    <col min="26" max="27" width="5.125" style="4" customWidth="1"/>
    <col min="28" max="28" width="5.625" style="4" bestFit="1" customWidth="1"/>
    <col min="29" max="29" width="10.875" style="4" bestFit="1" customWidth="1"/>
    <col min="30" max="30" width="11.25390625" style="4" bestFit="1" customWidth="1"/>
    <col min="31" max="31" width="3.375" style="4" customWidth="1"/>
    <col min="32" max="33" width="3.125" style="4" customWidth="1"/>
    <col min="34" max="34" width="1.875" style="4" customWidth="1"/>
    <col min="35" max="39" width="3.125" style="4" customWidth="1"/>
    <col min="40" max="40" width="3.00390625" style="4" customWidth="1"/>
    <col min="41" max="43" width="0" style="4" hidden="1" customWidth="1"/>
    <col min="44" max="16384" width="9.125" style="4" customWidth="1"/>
  </cols>
  <sheetData>
    <row r="1" spans="1:12" ht="20.25">
      <c r="A1" s="3"/>
      <c r="B1" s="2"/>
      <c r="C1" s="3"/>
      <c r="D1" s="3"/>
      <c r="E1" s="3"/>
      <c r="F1" s="3"/>
      <c r="G1" s="3"/>
      <c r="H1" s="3"/>
      <c r="L1" s="54" t="str">
        <f>CONCATENATE("Dvouhra - ",seznam!G2)</f>
        <v>Dvouhra - Zimní cena Jižního Města nejmladšího žactva</v>
      </c>
    </row>
    <row r="2" spans="1:12" ht="20.25">
      <c r="A2" s="3"/>
      <c r="B2" s="5"/>
      <c r="C2" s="3"/>
      <c r="D2" s="3"/>
      <c r="E2" s="3"/>
      <c r="F2" s="3"/>
      <c r="G2" s="3"/>
      <c r="H2" s="6"/>
      <c r="L2" s="97">
        <f>seznam!H2</f>
        <v>41336</v>
      </c>
    </row>
    <row r="3" spans="1:41" ht="15" customHeight="1" thickBot="1">
      <c r="A3" s="3"/>
      <c r="B3" s="3"/>
      <c r="C3" s="5"/>
      <c r="D3" s="3"/>
      <c r="E3" s="3"/>
      <c r="F3" s="3"/>
      <c r="G3" s="3"/>
      <c r="H3" s="7"/>
      <c r="L3" s="8"/>
      <c r="N3" s="9" t="str">
        <f>B4</f>
        <v>Skupina A</v>
      </c>
      <c r="O3" s="9" t="s">
        <v>3</v>
      </c>
      <c r="P3" s="9" t="s">
        <v>46</v>
      </c>
      <c r="Q3" s="9" t="s">
        <v>4</v>
      </c>
      <c r="R3" s="9" t="s">
        <v>3</v>
      </c>
      <c r="S3" s="9" t="s">
        <v>47</v>
      </c>
      <c r="T3" s="9" t="s">
        <v>4</v>
      </c>
      <c r="U3" s="10" t="s">
        <v>5</v>
      </c>
      <c r="V3" s="10" t="s">
        <v>6</v>
      </c>
      <c r="W3" s="10" t="s">
        <v>7</v>
      </c>
      <c r="X3" s="10" t="s">
        <v>8</v>
      </c>
      <c r="Y3" s="10" t="s">
        <v>9</v>
      </c>
      <c r="Z3" s="9" t="s">
        <v>10</v>
      </c>
      <c r="AA3" s="9" t="s">
        <v>11</v>
      </c>
      <c r="AB3" s="9" t="s">
        <v>12</v>
      </c>
      <c r="AO3" s="4" t="s">
        <v>13</v>
      </c>
    </row>
    <row r="4" spans="1:43" ht="16.5" customHeight="1" thickBot="1" thickTop="1">
      <c r="A4" s="11"/>
      <c r="B4" s="12" t="s">
        <v>14</v>
      </c>
      <c r="C4" s="13">
        <v>1</v>
      </c>
      <c r="D4" s="14">
        <v>2</v>
      </c>
      <c r="E4" s="14">
        <v>3</v>
      </c>
      <c r="F4" s="41">
        <v>4</v>
      </c>
      <c r="G4" s="15">
        <v>5</v>
      </c>
      <c r="H4" s="16" t="s">
        <v>15</v>
      </c>
      <c r="I4" s="15" t="s">
        <v>16</v>
      </c>
      <c r="K4" s="4" t="str">
        <f aca="true" t="shared" si="0" ref="K4:K13">CONCATENATE(P4," - ",S4)</f>
        <v>bye - bye</v>
      </c>
      <c r="L4" s="4">
        <f aca="true" t="shared" si="1" ref="L4:L13">IF(SUM(Z4:AA4)=0,AE4,CONCATENATE(Z4," : ",AA4," (",U4,",",V4,",",W4,IF(Z4+AA4&gt;3,",",""),X4,IF(Z4+AA4&gt;4,",",""),Y4,")"))</f>
      </c>
      <c r="N4" s="4" t="str">
        <f aca="true" t="shared" si="2" ref="N4:N13">CONCATENATE("Dvouhra - Skupina A")</f>
        <v>Dvouhra - Skupina A</v>
      </c>
      <c r="O4" s="4">
        <f>A6</f>
        <v>0</v>
      </c>
      <c r="P4" s="4" t="str">
        <f>IF($O4=0,"bye",VLOOKUP($O4,seznam!$A$2:$C$50,2))</f>
        <v>bye</v>
      </c>
      <c r="Q4" s="4">
        <f>IF($O4=0,"",VLOOKUP($O4,seznam!$A$2:$D$50,4))</f>
      </c>
      <c r="R4" s="4">
        <f>A9</f>
        <v>0</v>
      </c>
      <c r="S4" s="4" t="str">
        <f>IF($R4=0,"bye",VLOOKUP($R4,seznam!$A$2:$C$50,2))</f>
        <v>bye</v>
      </c>
      <c r="T4" s="4">
        <f>IF($R4=0,"",VLOOKUP($R4,seznam!$A$2:$D$50,4))</f>
      </c>
      <c r="U4" s="17"/>
      <c r="V4" s="18"/>
      <c r="W4" s="18"/>
      <c r="X4" s="18"/>
      <c r="Y4" s="19"/>
      <c r="Z4" s="4">
        <f aca="true" t="shared" si="3" ref="Z4:Z13">COUNTIF(AI4:AM4,"&gt;0")</f>
        <v>0</v>
      </c>
      <c r="AA4" s="4">
        <f aca="true" t="shared" si="4" ref="AA4:AA13">COUNTIF(AI4:AM4,"&lt;0")</f>
        <v>0</v>
      </c>
      <c r="AB4" s="4">
        <f aca="true" t="shared" si="5" ref="AB4:AB13">IF(Z4=AA4,0,IF(Z4&gt;AA4,O4,R4))</f>
        <v>0</v>
      </c>
      <c r="AC4" s="4">
        <f>IF($AB4=0,"",VLOOKUP($AB4,seznam!$A$2:$C$50,2))</f>
      </c>
      <c r="AD4" s="4">
        <f aca="true" t="shared" si="6" ref="AD4:AD13">IF(Z4=AA4,"",IF(Z4&gt;AA4,CONCATENATE(Z4,":",AA4," (",U4,",",V4,",",W4,IF(SUM(Z4:AA4)&gt;3,",",""),X4,IF(SUM(Z4:AA4)&gt;4,",",""),Y4,")"),CONCATENATE(AA4,":",Z4," (",-U4,",",-V4,",",-W4,IF(SUM(Z4:AA4)&gt;3,CONCATENATE(",",-X4),""),IF(SUM(Z4:AA4)&gt;4,CONCATENATE(",",-Y4),""),")")))</f>
      </c>
      <c r="AE4" s="4">
        <f aca="true" t="shared" si="7" ref="AE4:AE13">IF(SUM(Z4:AA4)=0,"",AD4)</f>
      </c>
      <c r="AF4" s="4">
        <f aca="true" t="shared" si="8" ref="AF4:AF13">IF(U4="",0,IF(Z4&gt;AA4,2,1))</f>
        <v>0</v>
      </c>
      <c r="AG4" s="4">
        <f aca="true" t="shared" si="9" ref="AG4:AG13">IF(U4="",0,IF(AA4&gt;Z4,2,1))</f>
        <v>0</v>
      </c>
      <c r="AI4" s="4">
        <f aca="true" t="shared" si="10" ref="AI4:AI13">IF(U4="",0,IF(MID(U4,1,1)="-",-1,1))</f>
        <v>0</v>
      </c>
      <c r="AJ4" s="4">
        <f aca="true" t="shared" si="11" ref="AJ4:AJ13">IF(V4="",0,IF(MID(V4,1,1)="-",-1,1))</f>
        <v>0</v>
      </c>
      <c r="AK4" s="4">
        <f aca="true" t="shared" si="12" ref="AK4:AK13">IF(W4="",0,IF(MID(W4,1,1)="-",-1,1))</f>
        <v>0</v>
      </c>
      <c r="AL4" s="4">
        <f aca="true" t="shared" si="13" ref="AL4:AL13">IF(X4="",0,IF(MID(X4,1,1)="-",-1,1))</f>
        <v>0</v>
      </c>
      <c r="AM4" s="4">
        <f aca="true" t="shared" si="14" ref="AM4:AM13">IF(Y4="",0,IF(MID(Y4,1,1)="-",-1,1))</f>
        <v>0</v>
      </c>
      <c r="AO4" s="4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Q4" s="4" t="str">
        <f>CONCATENATE("&lt;TR&gt;&lt;TD width=250&gt;",K4,"&lt;TD&gt;",L4,"&lt;/TD&gt;&lt;/TR&gt;")</f>
        <v>&lt;TR&gt;&lt;TD width=250&gt;bye - bye&lt;TD&gt;&lt;/TD&gt;&lt;/TR&gt;</v>
      </c>
    </row>
    <row r="5" spans="1:43" ht="16.5" customHeight="1" thickTop="1">
      <c r="A5" s="239"/>
      <c r="B5" s="20">
        <f>IF($A5="","",CONCATENATE(VLOOKUP($A5,seznam!$A$2:$B$50,2)," (",VLOOKUP($A5,seznam!$A$2:$E$51,4),")"))</f>
      </c>
      <c r="C5" s="21" t="s">
        <v>17</v>
      </c>
      <c r="D5" s="22">
        <f>IF(Z7+AA7=0,"",CONCATENATE(Z7,":",AA7))</f>
      </c>
      <c r="E5" s="22">
        <f>IF(Z8+AA8=0,"",CONCATENATE(AA8,":",Z8))</f>
      </c>
      <c r="F5" s="22">
        <f>IF(Z10+AA10=0,"",CONCATENATE(Z10,":",AA10))</f>
      </c>
      <c r="G5" s="23">
        <f>IF(Z13+AA13=0,"",CONCATENATE(AA13,":",Z13))</f>
      </c>
      <c r="H5" s="24">
        <f>IF(AF7+AG8+AF10+AG13=0,"",AF7+AG8+AF10+AG13)</f>
      </c>
      <c r="I5" s="23"/>
      <c r="K5" s="4" t="str">
        <f t="shared" si="0"/>
        <v>bye - bye</v>
      </c>
      <c r="L5" s="4">
        <f t="shared" si="1"/>
      </c>
      <c r="N5" s="4" t="str">
        <f t="shared" si="2"/>
        <v>Dvouhra - Skupina A</v>
      </c>
      <c r="O5" s="4">
        <f>A7</f>
        <v>0</v>
      </c>
      <c r="P5" s="4" t="str">
        <f>IF($O5=0,"bye",VLOOKUP($O5,seznam!$A$2:$C$50,2))</f>
        <v>bye</v>
      </c>
      <c r="Q5" s="4">
        <f>IF($O5=0,"",VLOOKUP($O5,seznam!$A$2:$D$50,4))</f>
      </c>
      <c r="R5" s="4">
        <f>A8</f>
        <v>0</v>
      </c>
      <c r="S5" s="4" t="str">
        <f>IF($R5=0,"bye",VLOOKUP($R5,seznam!$A$2:$C$50,2))</f>
        <v>bye</v>
      </c>
      <c r="T5" s="4">
        <f>IF($R5=0,"",VLOOKUP($R5,seznam!$A$2:$D$50,4))</f>
      </c>
      <c r="U5" s="25"/>
      <c r="V5" s="26"/>
      <c r="W5" s="26"/>
      <c r="X5" s="26"/>
      <c r="Y5" s="27"/>
      <c r="Z5" s="4">
        <f t="shared" si="3"/>
        <v>0</v>
      </c>
      <c r="AA5" s="4">
        <f t="shared" si="4"/>
        <v>0</v>
      </c>
      <c r="AB5" s="4">
        <f t="shared" si="5"/>
        <v>0</v>
      </c>
      <c r="AC5" s="4">
        <f>IF($AB5=0,"",VLOOKUP($AB5,seznam!$A$2:$C$50,2))</f>
      </c>
      <c r="AD5" s="4">
        <f t="shared" si="6"/>
      </c>
      <c r="AE5" s="4">
        <f t="shared" si="7"/>
      </c>
      <c r="AF5" s="4">
        <f t="shared" si="8"/>
        <v>0</v>
      </c>
      <c r="AG5" s="4">
        <f t="shared" si="9"/>
        <v>0</v>
      </c>
      <c r="AI5" s="4">
        <f t="shared" si="10"/>
        <v>0</v>
      </c>
      <c r="AJ5" s="4">
        <f t="shared" si="11"/>
        <v>0</v>
      </c>
      <c r="AK5" s="4">
        <f t="shared" si="12"/>
        <v>0</v>
      </c>
      <c r="AL5" s="4">
        <f t="shared" si="13"/>
        <v>0</v>
      </c>
      <c r="AM5" s="4">
        <f t="shared" si="14"/>
        <v>0</v>
      </c>
      <c r="AO5" s="4" t="str">
        <f>CONCATENATE(AP5,AP6,AP7,AP8,)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P5" s="4" t="str">
        <f>CONCATENATE("&lt;TR&gt;&lt;TD&gt;",A5,"&lt;TD width=200&gt;",B5,"&lt;TD&gt;",C5,"&lt;TD&gt;",D5,"&lt;TD&gt;",E5,"&lt;TD&gt;",G5,"&lt;TD&gt;",H5,"&lt;TD&gt;",I5,"&lt;/TD&gt;&lt;/TR&gt;")</f>
        <v>&lt;TR&gt;&lt;TD&gt;&lt;TD width=200&gt;&lt;TD&gt;XXX&lt;TD&gt;&lt;TD&gt;&lt;TD&gt;&lt;TD&gt;&lt;TD&gt;&lt;/TD&gt;&lt;/TR&gt;</v>
      </c>
      <c r="AQ5" s="4" t="str">
        <f>CONCATENATE("&lt;TR&gt;&lt;TD&gt;",K5,"&lt;TD&gt;",L5,"&lt;/TD&gt;&lt;/TR&gt;")</f>
        <v>&lt;TR&gt;&lt;TD&gt;bye - bye&lt;TD&gt;&lt;/TD&gt;&lt;/TR&gt;</v>
      </c>
    </row>
    <row r="6" spans="1:43" ht="16.5" customHeight="1">
      <c r="A6" s="240"/>
      <c r="B6" s="28">
        <f>IF($A6="","",CONCATENATE(VLOOKUP($A6,seznam!$A$2:$B$50,2)," (",VLOOKUP($A6,seznam!$A$2:$E$51,4),")"))</f>
      </c>
      <c r="C6" s="29">
        <f>IF(Z7+AA7=0,"",CONCATENATE(AA7,":",Z7))</f>
      </c>
      <c r="D6" s="30" t="s">
        <v>17</v>
      </c>
      <c r="E6" s="30">
        <f>IF(Z11+AA11=0,"",CONCATENATE(Z11,":",AA11))</f>
      </c>
      <c r="F6" s="22">
        <f>IF(Z12+AA12=0,"",CONCATENATE(AA12,":",Z12))</f>
      </c>
      <c r="G6" s="31">
        <f>IF(Z4+AA4=0,"",CONCATENATE(Z4,":",AA4))</f>
      </c>
      <c r="H6" s="32">
        <f>IF(AF4+AG7+AF11+AG12=0,"",AF4+AG7+AF11+AG12)</f>
      </c>
      <c r="I6" s="31"/>
      <c r="K6" s="4" t="str">
        <f t="shared" si="0"/>
        <v>bye - bye</v>
      </c>
      <c r="L6" s="4">
        <f t="shared" si="1"/>
      </c>
      <c r="N6" s="4" t="str">
        <f t="shared" si="2"/>
        <v>Dvouhra - Skupina A</v>
      </c>
      <c r="O6" s="4">
        <f>A9</f>
        <v>0</v>
      </c>
      <c r="P6" s="4" t="str">
        <f>IF($O6=0,"bye",VLOOKUP($O6,seznam!$A$2:$C$50,2))</f>
        <v>bye</v>
      </c>
      <c r="Q6" s="4">
        <f>IF($O6=0,"",VLOOKUP($O6,seznam!$A$2:$D$50,4))</f>
      </c>
      <c r="R6" s="4">
        <f>A7</f>
        <v>0</v>
      </c>
      <c r="S6" s="4" t="str">
        <f>IF($R6=0,"bye",VLOOKUP($R6,seznam!$A$2:$C$50,2))</f>
        <v>bye</v>
      </c>
      <c r="T6" s="4">
        <f>IF($R6=0,"",VLOOKUP($R6,seznam!$A$2:$D$50,4))</f>
      </c>
      <c r="U6" s="25"/>
      <c r="V6" s="26"/>
      <c r="W6" s="26"/>
      <c r="X6" s="26"/>
      <c r="Y6" s="27"/>
      <c r="Z6" s="4">
        <f t="shared" si="3"/>
        <v>0</v>
      </c>
      <c r="AA6" s="4">
        <f t="shared" si="4"/>
        <v>0</v>
      </c>
      <c r="AB6" s="4">
        <f t="shared" si="5"/>
        <v>0</v>
      </c>
      <c r="AC6" s="4">
        <f>IF($AB6=0,"",VLOOKUP($AB6,seznam!$A$2:$C$50,2))</f>
      </c>
      <c r="AD6" s="4">
        <f t="shared" si="6"/>
      </c>
      <c r="AE6" s="4">
        <f t="shared" si="7"/>
      </c>
      <c r="AF6" s="4">
        <f t="shared" si="8"/>
        <v>0</v>
      </c>
      <c r="AG6" s="4">
        <f t="shared" si="9"/>
        <v>0</v>
      </c>
      <c r="AI6" s="4">
        <f t="shared" si="10"/>
        <v>0</v>
      </c>
      <c r="AJ6" s="4">
        <f t="shared" si="11"/>
        <v>0</v>
      </c>
      <c r="AK6" s="4">
        <f t="shared" si="12"/>
        <v>0</v>
      </c>
      <c r="AL6" s="4">
        <f t="shared" si="13"/>
        <v>0</v>
      </c>
      <c r="AM6" s="4">
        <f t="shared" si="14"/>
        <v>0</v>
      </c>
      <c r="AO6" s="4" t="str">
        <f>CONCATENATE("&lt;/Table&gt;&lt;TD width=420&gt;&lt;Table&gt;")</f>
        <v>&lt;/Table&gt;&lt;TD width=420&gt;&lt;Table&gt;</v>
      </c>
      <c r="AP6" s="4" t="str">
        <f>CONCATENATE("&lt;TR&gt;&lt;TD&gt;",A6,"&lt;TD width=200&gt;",B6,"&lt;TD&gt;",C6,"&lt;TD&gt;",D6,"&lt;TD&gt;",E6,"&lt;TD&gt;",G6,"&lt;TD&gt;",H6,"&lt;TD&gt;",I6,"&lt;/TD&gt;&lt;/TR&gt;")</f>
        <v>&lt;TR&gt;&lt;TD&gt;&lt;TD width=200&gt;&lt;TD&gt;&lt;TD&gt;XXX&lt;TD&gt;&lt;TD&gt;&lt;TD&gt;&lt;TD&gt;&lt;/TD&gt;&lt;/TR&gt;</v>
      </c>
      <c r="AQ6" s="4" t="str">
        <f>CONCATENATE("&lt;TR&gt;&lt;TD&gt;",K6,"&lt;TD&gt;",L6,"&lt;/TD&gt;&lt;/TR&gt;")</f>
        <v>&lt;TR&gt;&lt;TD&gt;bye - bye&lt;TD&gt;&lt;/TD&gt;&lt;/TR&gt;</v>
      </c>
    </row>
    <row r="7" spans="1:43" ht="16.5" customHeight="1">
      <c r="A7" s="240"/>
      <c r="B7" s="28">
        <f>IF($A7="","",CONCATENATE(VLOOKUP($A7,seznam!$A$2:$B$50,2)," (",VLOOKUP($A7,seznam!$A$2:$E$51,4),")"))</f>
      </c>
      <c r="C7" s="29">
        <f>IF(Z8+AA8=0,"",CONCATENATE(Z8,":",AA8))</f>
      </c>
      <c r="D7" s="30">
        <f>IF(Z11+AA11=0,"",CONCATENATE(AA11,":",Z11))</f>
      </c>
      <c r="E7" s="30" t="s">
        <v>17</v>
      </c>
      <c r="F7" s="22">
        <f>IF(Z5+AA5=0,"",CONCATENATE(Z5,":",AA5))</f>
      </c>
      <c r="G7" s="31">
        <f>IF(Z6+AA6=0,"",CONCATENATE(AA6,":",Z6))</f>
      </c>
      <c r="H7" s="32">
        <f>IF(AF5+AG6+AF8+AG11=0,"",AF5+AG6+AF8+AG11)</f>
      </c>
      <c r="I7" s="31"/>
      <c r="K7" s="4" t="str">
        <f t="shared" si="0"/>
        <v>bye - bye</v>
      </c>
      <c r="L7" s="4">
        <f t="shared" si="1"/>
      </c>
      <c r="N7" s="4" t="str">
        <f t="shared" si="2"/>
        <v>Dvouhra - Skupina A</v>
      </c>
      <c r="O7" s="4">
        <f>A5</f>
        <v>0</v>
      </c>
      <c r="P7" s="4" t="str">
        <f>IF($O7=0,"bye",VLOOKUP($O7,seznam!$A$2:$C$50,2))</f>
        <v>bye</v>
      </c>
      <c r="Q7" s="4">
        <f>IF($O7=0,"",VLOOKUP($O7,seznam!$A$2:$D$50,4))</f>
      </c>
      <c r="R7" s="4">
        <f>A6</f>
        <v>0</v>
      </c>
      <c r="S7" s="4" t="str">
        <f>IF($R7=0,"bye",VLOOKUP($R7,seznam!$A$2:$C$50,2))</f>
        <v>bye</v>
      </c>
      <c r="T7" s="4">
        <f>IF($R7=0,"",VLOOKUP($R7,seznam!$A$2:$D$50,4))</f>
      </c>
      <c r="U7" s="25"/>
      <c r="V7" s="26"/>
      <c r="W7" s="26"/>
      <c r="X7" s="26"/>
      <c r="Y7" s="27"/>
      <c r="Z7" s="4">
        <f t="shared" si="3"/>
        <v>0</v>
      </c>
      <c r="AA7" s="4">
        <f t="shared" si="4"/>
        <v>0</v>
      </c>
      <c r="AB7" s="4">
        <f t="shared" si="5"/>
        <v>0</v>
      </c>
      <c r="AC7" s="4">
        <f>IF($AB7=0,"",VLOOKUP($AB7,seznam!$A$2:$C$50,2))</f>
      </c>
      <c r="AD7" s="4">
        <f t="shared" si="6"/>
      </c>
      <c r="AE7" s="4">
        <f t="shared" si="7"/>
      </c>
      <c r="AF7" s="4">
        <f t="shared" si="8"/>
        <v>0</v>
      </c>
      <c r="AG7" s="4">
        <f t="shared" si="9"/>
        <v>0</v>
      </c>
      <c r="AI7" s="4">
        <f t="shared" si="10"/>
        <v>0</v>
      </c>
      <c r="AJ7" s="4">
        <f t="shared" si="11"/>
        <v>0</v>
      </c>
      <c r="AK7" s="4">
        <f t="shared" si="12"/>
        <v>0</v>
      </c>
      <c r="AL7" s="4">
        <f t="shared" si="13"/>
        <v>0</v>
      </c>
      <c r="AM7" s="4">
        <f t="shared" si="14"/>
        <v>0</v>
      </c>
      <c r="AO7" s="4" t="str">
        <f>CONCATENATE(AQ4,AQ5,AQ6,AQ7,AQ8,AQ9,)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P7" s="4" t="str">
        <f>CONCATENATE("&lt;TR&gt;&lt;TD&gt;",A7,"&lt;TD width=200&gt;",B7,"&lt;TD&gt;",C7,"&lt;TD&gt;",D7,"&lt;TD&gt;",E7,"&lt;TD&gt;",G7,"&lt;TD&gt;",H7,"&lt;TD&gt;",I7,"&lt;/TD&gt;&lt;/TR&gt;")</f>
        <v>&lt;TR&gt;&lt;TD&gt;&lt;TD width=200&gt;&lt;TD&gt;&lt;TD&gt;&lt;TD&gt;XXX&lt;TD&gt;&lt;TD&gt;&lt;TD&gt;&lt;/TD&gt;&lt;/TR&gt;</v>
      </c>
      <c r="AQ7" s="4" t="str">
        <f>CONCATENATE("&lt;TR&gt;&lt;TD&gt;",K7,"&lt;TD&gt;",L7,"&lt;/TD&gt;&lt;/TR&gt;")</f>
        <v>&lt;TR&gt;&lt;TD&gt;bye - bye&lt;TD&gt;&lt;/TD&gt;&lt;/TR&gt;</v>
      </c>
    </row>
    <row r="8" spans="1:43" ht="16.5" customHeight="1">
      <c r="A8" s="242"/>
      <c r="B8" s="28">
        <f>IF($A8="","",CONCATENATE(VLOOKUP($A8,seznam!$A$2:$B$50,2)," (",VLOOKUP($A8,seznam!$A$2:$E$51,4),")"))</f>
      </c>
      <c r="C8" s="29">
        <f>IF(Z10+AA10=0,"",CONCATENATE(AA10,":",Z10))</f>
      </c>
      <c r="D8" s="30">
        <f>IF(Z12+AA12=0,"",CONCATENATE(Z12,":",AA12))</f>
      </c>
      <c r="E8" s="30">
        <f>IF(Z5+AA5=0,"",CONCATENATE(AA5,":",Z5))</f>
      </c>
      <c r="F8" s="30" t="s">
        <v>17</v>
      </c>
      <c r="G8" s="31">
        <f>IF(Z9+AA9=0,"",CONCATENATE(Z9,":",AA9))</f>
      </c>
      <c r="H8" s="32">
        <f>IF(AG5+AF9+AG10+AF12=0,"",AG5+AF9+AG10+AF12)</f>
      </c>
      <c r="I8" s="42"/>
      <c r="K8" s="4" t="str">
        <f t="shared" si="0"/>
        <v>bye - bye</v>
      </c>
      <c r="L8" s="4">
        <f t="shared" si="1"/>
      </c>
      <c r="N8" s="4" t="str">
        <f t="shared" si="2"/>
        <v>Dvouhra - Skupina A</v>
      </c>
      <c r="O8" s="4">
        <f>A7</f>
        <v>0</v>
      </c>
      <c r="P8" s="4" t="str">
        <f>IF($O8=0,"bye",VLOOKUP($O8,seznam!$A$2:$C$50,2))</f>
        <v>bye</v>
      </c>
      <c r="Q8" s="4">
        <f>IF($O8=0,"",VLOOKUP($O8,seznam!$A$2:$D$50,4))</f>
      </c>
      <c r="R8" s="4">
        <f>A5</f>
        <v>0</v>
      </c>
      <c r="S8" s="4" t="str">
        <f>IF($R8=0,"bye",VLOOKUP($R8,seznam!$A$2:$C$50,2))</f>
        <v>bye</v>
      </c>
      <c r="T8" s="4">
        <f>IF($R8=0,"",VLOOKUP($R8,seznam!$A$2:$D$50,4))</f>
      </c>
      <c r="U8" s="25"/>
      <c r="V8" s="26"/>
      <c r="W8" s="26"/>
      <c r="X8" s="26"/>
      <c r="Y8" s="27"/>
      <c r="Z8" s="4">
        <f t="shared" si="3"/>
        <v>0</v>
      </c>
      <c r="AA8" s="4">
        <f t="shared" si="4"/>
        <v>0</v>
      </c>
      <c r="AB8" s="4">
        <f t="shared" si="5"/>
        <v>0</v>
      </c>
      <c r="AC8" s="4">
        <f>IF($AB8=0,"",VLOOKUP($AB8,seznam!$A$2:$C$50,2))</f>
      </c>
      <c r="AD8" s="4">
        <f t="shared" si="6"/>
      </c>
      <c r="AE8" s="4">
        <f t="shared" si="7"/>
      </c>
      <c r="AF8" s="4">
        <f t="shared" si="8"/>
        <v>0</v>
      </c>
      <c r="AG8" s="4">
        <f t="shared" si="9"/>
        <v>0</v>
      </c>
      <c r="AI8" s="4">
        <f t="shared" si="10"/>
        <v>0</v>
      </c>
      <c r="AJ8" s="4">
        <f t="shared" si="11"/>
        <v>0</v>
      </c>
      <c r="AK8" s="4">
        <f t="shared" si="12"/>
        <v>0</v>
      </c>
      <c r="AL8" s="4">
        <f t="shared" si="13"/>
        <v>0</v>
      </c>
      <c r="AM8" s="4">
        <f t="shared" si="14"/>
        <v>0</v>
      </c>
      <c r="AO8" s="4" t="str">
        <f>CONCATENATE("&lt;/Table&gt;&lt;/TD&gt;&lt;/TR&gt;&lt;/Table&gt;&lt;P&gt;")</f>
        <v>&lt;/Table&gt;&lt;/TD&gt;&lt;/TR&gt;&lt;/Table&gt;&lt;P&gt;</v>
      </c>
      <c r="AP8" s="4" t="str">
        <f>CONCATENATE("&lt;TR&gt;&lt;TD&gt;",A9,"&lt;TD width=200&gt;",B9,"&lt;TD&gt;",C9,"&lt;TD&gt;",D9,"&lt;TD&gt;",E9,"&lt;TD&gt;",G9,"&lt;TD&gt;",H9,"&lt;TD&gt;",I9,"&lt;/TD&gt;&lt;/TR&gt;")</f>
        <v>&lt;TR&gt;&lt;TD&gt;&lt;TD width=200&gt;&lt;TD&gt;&lt;TD&gt;&lt;TD&gt;&lt;TD&gt;XXX&lt;TD&gt;&lt;TD&gt;&lt;/TD&gt;&lt;/TR&gt;</v>
      </c>
      <c r="AQ8" s="4" t="str">
        <f>CONCATENATE("&lt;TR&gt;&lt;TD&gt;",K9,"&lt;TD&gt;",L9,"&lt;/TD&gt;&lt;/TR&gt;")</f>
        <v>&lt;TR&gt;&lt;TD&gt;bye - bye&lt;TD&gt;&lt;/TD&gt;&lt;/TR&gt;</v>
      </c>
    </row>
    <row r="9" spans="1:43" ht="16.5" customHeight="1" thickBot="1">
      <c r="A9" s="241"/>
      <c r="B9" s="33">
        <f>IF($A9="","",CONCATENATE(VLOOKUP($A9,seznam!$A$2:$B$50,2)," (",VLOOKUP($A9,seznam!$A$2:$E$51,4),")"))</f>
      </c>
      <c r="C9" s="34">
        <f>IF(Z13+AA13=0,"",CONCATENATE(Z13,":",AA13))</f>
      </c>
      <c r="D9" s="35">
        <f>IF(Z4+AA4=0,"",CONCATENATE(AA4,":",Z4))</f>
      </c>
      <c r="E9" s="35">
        <f>IF(Z6+AA6=0,"",CONCATENATE(Z6,":",AA6))</f>
      </c>
      <c r="F9" s="43">
        <f>IF(Z9+AA9=0,"",CONCATENATE(AA9,":",Z9))</f>
      </c>
      <c r="G9" s="36" t="s">
        <v>17</v>
      </c>
      <c r="H9" s="37">
        <f>IF(AG4+AF6+AG9+AF13=0,"",AG4+AF6+AG9+AF13)</f>
      </c>
      <c r="I9" s="36"/>
      <c r="K9" s="4" t="str">
        <f t="shared" si="0"/>
        <v>bye - bye</v>
      </c>
      <c r="L9" s="4">
        <f t="shared" si="1"/>
      </c>
      <c r="N9" s="4" t="str">
        <f t="shared" si="2"/>
        <v>Dvouhra - Skupina A</v>
      </c>
      <c r="O9" s="4">
        <f>A8</f>
        <v>0</v>
      </c>
      <c r="P9" s="4" t="str">
        <f>IF($O9=0,"bye",VLOOKUP($O9,seznam!$A$2:$C$50,2))</f>
        <v>bye</v>
      </c>
      <c r="Q9" s="4">
        <f>IF($O9=0,"",VLOOKUP($O9,seznam!$A$2:$D$50,4))</f>
      </c>
      <c r="R9" s="4">
        <f>A9</f>
        <v>0</v>
      </c>
      <c r="S9" s="4" t="str">
        <f>IF($R9=0,"bye",VLOOKUP($R9,seznam!$A$2:$C$50,2))</f>
        <v>bye</v>
      </c>
      <c r="T9" s="4">
        <f>IF($R9=0,"",VLOOKUP($R9,seznam!$A$2:$D$50,4))</f>
      </c>
      <c r="U9" s="25"/>
      <c r="V9" s="26"/>
      <c r="W9" s="26"/>
      <c r="X9" s="26"/>
      <c r="Y9" s="27"/>
      <c r="Z9" s="4">
        <f t="shared" si="3"/>
        <v>0</v>
      </c>
      <c r="AA9" s="4">
        <f t="shared" si="4"/>
        <v>0</v>
      </c>
      <c r="AB9" s="4">
        <f t="shared" si="5"/>
        <v>0</v>
      </c>
      <c r="AC9" s="4">
        <f>IF($AB9=0,"",VLOOKUP($AB9,seznam!$A$2:$C$50,2))</f>
      </c>
      <c r="AD9" s="4">
        <f t="shared" si="6"/>
      </c>
      <c r="AE9" s="4">
        <f t="shared" si="7"/>
      </c>
      <c r="AF9" s="4">
        <f t="shared" si="8"/>
        <v>0</v>
      </c>
      <c r="AG9" s="4">
        <f t="shared" si="9"/>
        <v>0</v>
      </c>
      <c r="AI9" s="4">
        <f t="shared" si="10"/>
        <v>0</v>
      </c>
      <c r="AJ9" s="4">
        <f t="shared" si="11"/>
        <v>0</v>
      </c>
      <c r="AK9" s="4">
        <f t="shared" si="12"/>
        <v>0</v>
      </c>
      <c r="AL9" s="4">
        <f t="shared" si="13"/>
        <v>0</v>
      </c>
      <c r="AM9" s="4">
        <f t="shared" si="14"/>
        <v>0</v>
      </c>
      <c r="AQ9" s="4" t="str">
        <f>CONCATENATE("&lt;TR&gt;&lt;TD&gt;",K10,"&lt;TD&gt;",L10,"&lt;/TD&gt;&lt;/TR&gt;")</f>
        <v>&lt;TR&gt;&lt;TD&gt;bye - bye&lt;TD&gt;&lt;/TD&gt;&lt;/TR&gt;</v>
      </c>
    </row>
    <row r="10" spans="11:39" ht="16.5" customHeight="1" thickTop="1">
      <c r="K10" s="4" t="str">
        <f t="shared" si="0"/>
        <v>bye - bye</v>
      </c>
      <c r="L10" s="4">
        <f t="shared" si="1"/>
      </c>
      <c r="N10" s="4" t="str">
        <f t="shared" si="2"/>
        <v>Dvouhra - Skupina A</v>
      </c>
      <c r="O10" s="4">
        <f>A5</f>
        <v>0</v>
      </c>
      <c r="P10" s="4" t="str">
        <f>IF($O10=0,"bye",VLOOKUP($O10,seznam!$A$2:$C$50,2))</f>
        <v>bye</v>
      </c>
      <c r="Q10" s="4">
        <f>IF($O10=0,"",VLOOKUP($O10,seznam!$A$2:$D$50,4))</f>
      </c>
      <c r="R10" s="4">
        <f>A8</f>
        <v>0</v>
      </c>
      <c r="S10" s="4" t="str">
        <f>IF($R10=0,"bye",VLOOKUP($R10,seznam!$A$2:$C$50,2))</f>
        <v>bye</v>
      </c>
      <c r="T10" s="9"/>
      <c r="U10" s="25"/>
      <c r="V10" s="26"/>
      <c r="W10" s="26"/>
      <c r="X10" s="26"/>
      <c r="Y10" s="27"/>
      <c r="Z10" s="4">
        <f t="shared" si="3"/>
        <v>0</v>
      </c>
      <c r="AA10" s="4">
        <f t="shared" si="4"/>
        <v>0</v>
      </c>
      <c r="AB10" s="4">
        <f t="shared" si="5"/>
        <v>0</v>
      </c>
      <c r="AC10" s="4">
        <f>IF($AB10=0,"",VLOOKUP($AB10,seznam!$A$2:$C$50,2))</f>
      </c>
      <c r="AD10" s="4">
        <f t="shared" si="6"/>
      </c>
      <c r="AE10" s="4">
        <f t="shared" si="7"/>
      </c>
      <c r="AF10" s="4">
        <f t="shared" si="8"/>
        <v>0</v>
      </c>
      <c r="AG10" s="4">
        <f t="shared" si="9"/>
        <v>0</v>
      </c>
      <c r="AI10" s="4">
        <f t="shared" si="10"/>
        <v>0</v>
      </c>
      <c r="AJ10" s="4">
        <f t="shared" si="11"/>
        <v>0</v>
      </c>
      <c r="AK10" s="4">
        <f t="shared" si="12"/>
        <v>0</v>
      </c>
      <c r="AL10" s="4">
        <f t="shared" si="13"/>
        <v>0</v>
      </c>
      <c r="AM10" s="4">
        <f t="shared" si="14"/>
        <v>0</v>
      </c>
    </row>
    <row r="11" spans="11:39" ht="16.5" customHeight="1">
      <c r="K11" s="4" t="str">
        <f t="shared" si="0"/>
        <v>bye - bye</v>
      </c>
      <c r="L11" s="4">
        <f t="shared" si="1"/>
      </c>
      <c r="N11" s="4" t="str">
        <f t="shared" si="2"/>
        <v>Dvouhra - Skupina A</v>
      </c>
      <c r="O11" s="4">
        <f>A6</f>
        <v>0</v>
      </c>
      <c r="P11" s="4" t="str">
        <f>IF($O11=0,"bye",VLOOKUP($O11,seznam!$A$2:$C$50,2))</f>
        <v>bye</v>
      </c>
      <c r="Q11" s="4">
        <f>IF($O11=0,"",VLOOKUP($O11,seznam!$A$2:$D$50,4))</f>
      </c>
      <c r="R11" s="4">
        <f>A7</f>
        <v>0</v>
      </c>
      <c r="S11" s="4" t="str">
        <f>IF($R11=0,"bye",VLOOKUP($R11,seznam!$A$2:$C$50,2))</f>
        <v>bye</v>
      </c>
      <c r="U11" s="25"/>
      <c r="V11" s="26"/>
      <c r="W11" s="26"/>
      <c r="X11" s="26"/>
      <c r="Y11" s="27"/>
      <c r="Z11" s="4">
        <f t="shared" si="3"/>
        <v>0</v>
      </c>
      <c r="AA11" s="4">
        <f t="shared" si="4"/>
        <v>0</v>
      </c>
      <c r="AB11" s="4">
        <f t="shared" si="5"/>
        <v>0</v>
      </c>
      <c r="AC11" s="4">
        <f>IF($AB11=0,"",VLOOKUP($AB11,seznam!$A$2:$C$50,2))</f>
      </c>
      <c r="AD11" s="4">
        <f t="shared" si="6"/>
      </c>
      <c r="AE11" s="4">
        <f t="shared" si="7"/>
      </c>
      <c r="AF11" s="4">
        <f t="shared" si="8"/>
        <v>0</v>
      </c>
      <c r="AG11" s="4">
        <f t="shared" si="9"/>
        <v>0</v>
      </c>
      <c r="AI11" s="4">
        <f t="shared" si="10"/>
        <v>0</v>
      </c>
      <c r="AJ11" s="4">
        <f t="shared" si="11"/>
        <v>0</v>
      </c>
      <c r="AK11" s="4">
        <f t="shared" si="12"/>
        <v>0</v>
      </c>
      <c r="AL11" s="4">
        <f t="shared" si="13"/>
        <v>0</v>
      </c>
      <c r="AM11" s="4">
        <f t="shared" si="14"/>
        <v>0</v>
      </c>
    </row>
    <row r="12" spans="11:39" ht="16.5" customHeight="1">
      <c r="K12" s="4" t="str">
        <f t="shared" si="0"/>
        <v>bye - bye</v>
      </c>
      <c r="L12" s="4">
        <f t="shared" si="1"/>
      </c>
      <c r="N12" s="4" t="str">
        <f t="shared" si="2"/>
        <v>Dvouhra - Skupina A</v>
      </c>
      <c r="O12" s="4">
        <f>A8</f>
        <v>0</v>
      </c>
      <c r="P12" s="4" t="str">
        <f>IF($O12=0,"bye",VLOOKUP($O12,seznam!$A$2:$C$50,2))</f>
        <v>bye</v>
      </c>
      <c r="Q12" s="4">
        <f>IF($O12=0,"",VLOOKUP($O12,seznam!$A$2:$D$50,4))</f>
      </c>
      <c r="R12" s="4">
        <f>A6</f>
        <v>0</v>
      </c>
      <c r="S12" s="4" t="str">
        <f>IF($R12=0,"bye",VLOOKUP($R12,seznam!$A$2:$C$50,2))</f>
        <v>bye</v>
      </c>
      <c r="U12" s="25"/>
      <c r="V12" s="26"/>
      <c r="W12" s="26"/>
      <c r="X12" s="26"/>
      <c r="Y12" s="27"/>
      <c r="Z12" s="4">
        <f t="shared" si="3"/>
        <v>0</v>
      </c>
      <c r="AA12" s="4">
        <f t="shared" si="4"/>
        <v>0</v>
      </c>
      <c r="AB12" s="4">
        <f t="shared" si="5"/>
        <v>0</v>
      </c>
      <c r="AC12" s="4">
        <f>IF($AB12=0,"",VLOOKUP($AB12,seznam!$A$2:$C$50,2))</f>
      </c>
      <c r="AD12" s="4">
        <f t="shared" si="6"/>
      </c>
      <c r="AE12" s="4">
        <f t="shared" si="7"/>
      </c>
      <c r="AF12" s="4">
        <f t="shared" si="8"/>
        <v>0</v>
      </c>
      <c r="AG12" s="4">
        <f t="shared" si="9"/>
        <v>0</v>
      </c>
      <c r="AI12" s="4">
        <f t="shared" si="10"/>
        <v>0</v>
      </c>
      <c r="AJ12" s="4">
        <f t="shared" si="11"/>
        <v>0</v>
      </c>
      <c r="AK12" s="4">
        <f t="shared" si="12"/>
        <v>0</v>
      </c>
      <c r="AL12" s="4">
        <f t="shared" si="13"/>
        <v>0</v>
      </c>
      <c r="AM12" s="4">
        <f t="shared" si="14"/>
        <v>0</v>
      </c>
    </row>
    <row r="13" spans="11:39" ht="16.5" customHeight="1" thickBot="1">
      <c r="K13" s="4" t="str">
        <f t="shared" si="0"/>
        <v>bye - bye</v>
      </c>
      <c r="L13" s="4">
        <f t="shared" si="1"/>
      </c>
      <c r="N13" s="4" t="str">
        <f t="shared" si="2"/>
        <v>Dvouhra - Skupina A</v>
      </c>
      <c r="O13" s="4">
        <f>A9</f>
        <v>0</v>
      </c>
      <c r="P13" s="4" t="str">
        <f>IF($O13=0,"bye",VLOOKUP($O13,seznam!$A$2:$C$50,2))</f>
        <v>bye</v>
      </c>
      <c r="Q13" s="4">
        <f>IF($O13=0,"",VLOOKUP($O13,seznam!$A$2:$D$50,4))</f>
      </c>
      <c r="R13" s="4">
        <f>A5</f>
        <v>0</v>
      </c>
      <c r="S13" s="4" t="str">
        <f>IF($R13=0,"bye",VLOOKUP($R13,seznam!$A$2:$C$50,2))</f>
        <v>bye</v>
      </c>
      <c r="U13" s="38"/>
      <c r="V13" s="39"/>
      <c r="W13" s="39"/>
      <c r="X13" s="39"/>
      <c r="Y13" s="40"/>
      <c r="Z13" s="4">
        <f t="shared" si="3"/>
        <v>0</v>
      </c>
      <c r="AA13" s="4">
        <f t="shared" si="4"/>
        <v>0</v>
      </c>
      <c r="AB13" s="4">
        <f t="shared" si="5"/>
        <v>0</v>
      </c>
      <c r="AC13" s="4">
        <f>IF($AB13=0,"",VLOOKUP($AB13,seznam!$A$2:$C$50,2))</f>
      </c>
      <c r="AD13" s="4">
        <f t="shared" si="6"/>
      </c>
      <c r="AE13" s="4">
        <f t="shared" si="7"/>
      </c>
      <c r="AF13" s="4">
        <f t="shared" si="8"/>
        <v>0</v>
      </c>
      <c r="AG13" s="4">
        <f t="shared" si="9"/>
        <v>0</v>
      </c>
      <c r="AI13" s="4">
        <f t="shared" si="10"/>
        <v>0</v>
      </c>
      <c r="AJ13" s="4">
        <f t="shared" si="11"/>
        <v>0</v>
      </c>
      <c r="AK13" s="4">
        <f t="shared" si="12"/>
        <v>0</v>
      </c>
      <c r="AL13" s="4">
        <f t="shared" si="13"/>
        <v>0</v>
      </c>
      <c r="AM13" s="4">
        <f t="shared" si="14"/>
        <v>0</v>
      </c>
    </row>
    <row r="14" spans="1:28" ht="16.5" customHeight="1" thickBot="1" thickTop="1">
      <c r="A14" s="3"/>
      <c r="B14" s="3"/>
      <c r="C14" s="5"/>
      <c r="D14" s="3"/>
      <c r="E14" s="3"/>
      <c r="F14" s="3"/>
      <c r="G14" s="3"/>
      <c r="H14" s="7"/>
      <c r="L14" s="8"/>
      <c r="N14" s="9" t="str">
        <f>B15</f>
        <v>Skupina B</v>
      </c>
      <c r="O14" s="9" t="s">
        <v>3</v>
      </c>
      <c r="P14" s="9" t="s">
        <v>46</v>
      </c>
      <c r="Q14" s="9" t="s">
        <v>4</v>
      </c>
      <c r="R14" s="9" t="s">
        <v>3</v>
      </c>
      <c r="S14" s="9" t="s">
        <v>47</v>
      </c>
      <c r="T14" s="9" t="s">
        <v>4</v>
      </c>
      <c r="U14" s="10" t="s">
        <v>5</v>
      </c>
      <c r="V14" s="10" t="s">
        <v>6</v>
      </c>
      <c r="W14" s="10" t="s">
        <v>7</v>
      </c>
      <c r="X14" s="10" t="s">
        <v>8</v>
      </c>
      <c r="Y14" s="10" t="s">
        <v>9</v>
      </c>
      <c r="Z14" s="9" t="s">
        <v>10</v>
      </c>
      <c r="AA14" s="9" t="s">
        <v>11</v>
      </c>
      <c r="AB14" s="9" t="s">
        <v>12</v>
      </c>
    </row>
    <row r="15" spans="1:39" ht="16.5" customHeight="1" thickBot="1" thickTop="1">
      <c r="A15" s="11"/>
      <c r="B15" s="12" t="s">
        <v>18</v>
      </c>
      <c r="C15" s="13">
        <v>1</v>
      </c>
      <c r="D15" s="14">
        <v>2</v>
      </c>
      <c r="E15" s="14">
        <v>3</v>
      </c>
      <c r="F15" s="41">
        <v>4</v>
      </c>
      <c r="G15" s="15">
        <v>5</v>
      </c>
      <c r="H15" s="16" t="s">
        <v>15</v>
      </c>
      <c r="I15" s="15" t="s">
        <v>16</v>
      </c>
      <c r="K15" s="4" t="str">
        <f aca="true" t="shared" si="15" ref="K15:K24">CONCATENATE(P15," - ",S15)</f>
        <v>bye - bye</v>
      </c>
      <c r="L15" s="4">
        <f aca="true" t="shared" si="16" ref="L15:L24">IF(SUM(Z15:AA15)=0,AE15,CONCATENATE(Z15," : ",AA15," (",U15,",",V15,",",W15,IF(Z15+AA15&gt;3,",",""),X15,IF(Z15+AA15&gt;4,",",""),Y15,")"))</f>
      </c>
      <c r="N15" s="4" t="str">
        <f>CONCATENATE("Dvouhra - Skupina B")</f>
        <v>Dvouhra - Skupina B</v>
      </c>
      <c r="O15" s="4">
        <f>A17</f>
        <v>0</v>
      </c>
      <c r="P15" s="4" t="str">
        <f>IF($O15=0,"bye",VLOOKUP($O15,seznam!$A$2:$C$50,2))</f>
        <v>bye</v>
      </c>
      <c r="Q15" s="4">
        <f>IF($O15=0,"",VLOOKUP($O15,seznam!$A$2:$D$50,4))</f>
      </c>
      <c r="R15" s="4">
        <f>A20</f>
        <v>0</v>
      </c>
      <c r="S15" s="4" t="str">
        <f>IF($R15=0,"bye",VLOOKUP($R15,seznam!$A$2:$C$50,2))</f>
        <v>bye</v>
      </c>
      <c r="T15" s="4">
        <f>IF($R15=0,"",VLOOKUP($R15,seznam!$A$2:$D$50,4))</f>
      </c>
      <c r="U15" s="17"/>
      <c r="V15" s="18"/>
      <c r="W15" s="18"/>
      <c r="X15" s="18"/>
      <c r="Y15" s="19"/>
      <c r="Z15" s="4">
        <f aca="true" t="shared" si="17" ref="Z15:Z24">COUNTIF(AI15:AM15,"&gt;0")</f>
        <v>0</v>
      </c>
      <c r="AA15" s="4">
        <f aca="true" t="shared" si="18" ref="AA15:AA24">COUNTIF(AI15:AM15,"&lt;0")</f>
        <v>0</v>
      </c>
      <c r="AB15" s="4">
        <f aca="true" t="shared" si="19" ref="AB15:AB24">IF(Z15=AA15,0,IF(Z15&gt;AA15,O15,R15))</f>
        <v>0</v>
      </c>
      <c r="AC15" s="4">
        <f>IF($AB15=0,"",VLOOKUP($AB15,seznam!$A$2:$C$50,2))</f>
      </c>
      <c r="AD15" s="4">
        <f aca="true" t="shared" si="20" ref="AD15:AD24">IF(Z15=AA15,"",IF(Z15&gt;AA15,CONCATENATE(Z15,":",AA15," (",U15,",",V15,",",W15,IF(SUM(Z15:AA15)&gt;3,",",""),X15,IF(SUM(Z15:AA15)&gt;4,",",""),Y15,")"),CONCATENATE(AA15,":",Z15," (",-U15,",",-V15,",",-W15,IF(SUM(Z15:AA15)&gt;3,CONCATENATE(",",-X15),""),IF(SUM(Z15:AA15)&gt;4,CONCATENATE(",",-Y15),""),")")))</f>
      </c>
      <c r="AE15" s="4">
        <f aca="true" t="shared" si="21" ref="AE15:AE24">IF(SUM(Z15:AA15)=0,"",AD15)</f>
      </c>
      <c r="AF15" s="4">
        <f aca="true" t="shared" si="22" ref="AF15:AF24">IF(U15="",0,IF(Z15&gt;AA15,2,1))</f>
        <v>0</v>
      </c>
      <c r="AG15" s="4">
        <f aca="true" t="shared" si="23" ref="AG15:AG24">IF(U15="",0,IF(AA15&gt;Z15,2,1))</f>
        <v>0</v>
      </c>
      <c r="AI15" s="4">
        <f aca="true" t="shared" si="24" ref="AI15:AI24">IF(U15="",0,IF(MID(U15,1,1)="-",-1,1))</f>
        <v>0</v>
      </c>
      <c r="AJ15" s="4">
        <f aca="true" t="shared" si="25" ref="AJ15:AJ24">IF(V15="",0,IF(MID(V15,1,1)="-",-1,1))</f>
        <v>0</v>
      </c>
      <c r="AK15" s="4">
        <f aca="true" t="shared" si="26" ref="AK15:AK24">IF(W15="",0,IF(MID(W15,1,1)="-",-1,1))</f>
        <v>0</v>
      </c>
      <c r="AL15" s="4">
        <f aca="true" t="shared" si="27" ref="AL15:AL24">IF(X15="",0,IF(MID(X15,1,1)="-",-1,1))</f>
        <v>0</v>
      </c>
      <c r="AM15" s="4">
        <f aca="true" t="shared" si="28" ref="AM15:AM24">IF(Y15="",0,IF(MID(Y15,1,1)="-",-1,1))</f>
        <v>0</v>
      </c>
    </row>
    <row r="16" spans="1:39" ht="16.5" customHeight="1" thickTop="1">
      <c r="A16" s="239"/>
      <c r="B16" s="20">
        <f>IF($A16="","",CONCATENATE(VLOOKUP($A16,seznam!$A$2:$B$50,2)," (",VLOOKUP($A16,seznam!$A$2:$E$51,4),")"))</f>
      </c>
      <c r="C16" s="21" t="s">
        <v>17</v>
      </c>
      <c r="D16" s="22">
        <f>IF(Z18+AA18=0,"",CONCATENATE(Z18,":",AA18))</f>
      </c>
      <c r="E16" s="22">
        <f>IF(Z19+AA19=0,"",CONCATENATE(AA19,":",Z19))</f>
      </c>
      <c r="F16" s="22">
        <f>IF(Z21+AA21=0,"",CONCATENATE(Z21,":",AA21))</f>
      </c>
      <c r="G16" s="23">
        <f>IF(Z24+AA24=0,"",CONCATENATE(AA24,":",Z24))</f>
      </c>
      <c r="H16" s="24">
        <f>IF(AF18+AG19+AF21+AG24=0,"",AF18+AG19+AF21+AG24)</f>
      </c>
      <c r="I16" s="23"/>
      <c r="K16" s="4" t="str">
        <f t="shared" si="15"/>
        <v>bye - bye</v>
      </c>
      <c r="L16" s="4">
        <f t="shared" si="16"/>
      </c>
      <c r="N16" s="4" t="str">
        <f aca="true" t="shared" si="29" ref="N16:N24">CONCATENATE("Dvouhra - Skupina B")</f>
        <v>Dvouhra - Skupina B</v>
      </c>
      <c r="O16" s="4">
        <f>A18</f>
        <v>0</v>
      </c>
      <c r="P16" s="4" t="str">
        <f>IF($O16=0,"bye",VLOOKUP($O16,seznam!$A$2:$C$50,2))</f>
        <v>bye</v>
      </c>
      <c r="Q16" s="4">
        <f>IF($O16=0,"",VLOOKUP($O16,seznam!$A$2:$D$50,4))</f>
      </c>
      <c r="R16" s="4">
        <f>A19</f>
        <v>0</v>
      </c>
      <c r="S16" s="4" t="str">
        <f>IF($R16=0,"bye",VLOOKUP($R16,seznam!$A$2:$C$50,2))</f>
        <v>bye</v>
      </c>
      <c r="T16" s="4">
        <f>IF($R16=0,"",VLOOKUP($R16,seznam!$A$2:$D$50,4))</f>
      </c>
      <c r="U16" s="25"/>
      <c r="V16" s="26"/>
      <c r="W16" s="26"/>
      <c r="X16" s="26"/>
      <c r="Y16" s="27"/>
      <c r="Z16" s="4">
        <f t="shared" si="17"/>
        <v>0</v>
      </c>
      <c r="AA16" s="4">
        <f t="shared" si="18"/>
        <v>0</v>
      </c>
      <c r="AB16" s="4">
        <f t="shared" si="19"/>
        <v>0</v>
      </c>
      <c r="AC16" s="4">
        <f>IF($AB16=0,"",VLOOKUP($AB16,seznam!$A$2:$C$50,2))</f>
      </c>
      <c r="AD16" s="4">
        <f t="shared" si="20"/>
      </c>
      <c r="AE16" s="4">
        <f t="shared" si="21"/>
      </c>
      <c r="AF16" s="4">
        <f t="shared" si="22"/>
        <v>0</v>
      </c>
      <c r="AG16" s="4">
        <f t="shared" si="23"/>
        <v>0</v>
      </c>
      <c r="AI16" s="4">
        <f t="shared" si="24"/>
        <v>0</v>
      </c>
      <c r="AJ16" s="4">
        <f t="shared" si="25"/>
        <v>0</v>
      </c>
      <c r="AK16" s="4">
        <f t="shared" si="26"/>
        <v>0</v>
      </c>
      <c r="AL16" s="4">
        <f t="shared" si="27"/>
        <v>0</v>
      </c>
      <c r="AM16" s="4">
        <f t="shared" si="28"/>
        <v>0</v>
      </c>
    </row>
    <row r="17" spans="1:39" ht="16.5" customHeight="1">
      <c r="A17" s="240"/>
      <c r="B17" s="28">
        <f>IF($A17="","",CONCATENATE(VLOOKUP($A17,seznam!$A$2:$B$50,2)," (",VLOOKUP($A17,seznam!$A$2:$E$51,4),")"))</f>
      </c>
      <c r="C17" s="29">
        <f>IF(Z18+AA18=0,"",CONCATENATE(AA18,":",Z18))</f>
      </c>
      <c r="D17" s="30" t="s">
        <v>17</v>
      </c>
      <c r="E17" s="30">
        <f>IF(Z22+AA22=0,"",CONCATENATE(Z22,":",AA22))</f>
      </c>
      <c r="F17" s="22">
        <f>IF(Z23+AA23=0,"",CONCATENATE(AA23,":",Z23))</f>
      </c>
      <c r="G17" s="31">
        <f>IF(Z15+AA15=0,"",CONCATENATE(Z15,":",AA15))</f>
      </c>
      <c r="H17" s="32">
        <f>IF(AF15+AG18+AF22+AG23=0,"",AF15+AG18+AF22+AG23)</f>
      </c>
      <c r="I17" s="31"/>
      <c r="K17" s="4" t="str">
        <f t="shared" si="15"/>
        <v>bye - bye</v>
      </c>
      <c r="L17" s="4">
        <f t="shared" si="16"/>
      </c>
      <c r="N17" s="4" t="str">
        <f t="shared" si="29"/>
        <v>Dvouhra - Skupina B</v>
      </c>
      <c r="O17" s="4">
        <f>A20</f>
        <v>0</v>
      </c>
      <c r="P17" s="4" t="str">
        <f>IF($O17=0,"bye",VLOOKUP($O17,seznam!$A$2:$C$50,2))</f>
        <v>bye</v>
      </c>
      <c r="Q17" s="4">
        <f>IF($O17=0,"",VLOOKUP($O17,seznam!$A$2:$D$50,4))</f>
      </c>
      <c r="R17" s="4">
        <f>A18</f>
        <v>0</v>
      </c>
      <c r="S17" s="4" t="str">
        <f>IF($R17=0,"bye",VLOOKUP($R17,seznam!$A$2:$C$50,2))</f>
        <v>bye</v>
      </c>
      <c r="T17" s="4">
        <f>IF($R17=0,"",VLOOKUP($R17,seznam!$A$2:$D$50,4))</f>
      </c>
      <c r="U17" s="25"/>
      <c r="V17" s="26"/>
      <c r="W17" s="26"/>
      <c r="X17" s="26"/>
      <c r="Y17" s="27"/>
      <c r="Z17" s="4">
        <f t="shared" si="17"/>
        <v>0</v>
      </c>
      <c r="AA17" s="4">
        <f t="shared" si="18"/>
        <v>0</v>
      </c>
      <c r="AB17" s="4">
        <f t="shared" si="19"/>
        <v>0</v>
      </c>
      <c r="AC17" s="4">
        <f>IF($AB17=0,"",VLOOKUP($AB17,seznam!$A$2:$C$50,2))</f>
      </c>
      <c r="AD17" s="4">
        <f t="shared" si="20"/>
      </c>
      <c r="AE17" s="4">
        <f t="shared" si="21"/>
      </c>
      <c r="AF17" s="4">
        <f t="shared" si="22"/>
        <v>0</v>
      </c>
      <c r="AG17" s="4">
        <f t="shared" si="23"/>
        <v>0</v>
      </c>
      <c r="AI17" s="4">
        <f t="shared" si="24"/>
        <v>0</v>
      </c>
      <c r="AJ17" s="4">
        <f t="shared" si="25"/>
        <v>0</v>
      </c>
      <c r="AK17" s="4">
        <f t="shared" si="26"/>
        <v>0</v>
      </c>
      <c r="AL17" s="4">
        <f t="shared" si="27"/>
        <v>0</v>
      </c>
      <c r="AM17" s="4">
        <f t="shared" si="28"/>
        <v>0</v>
      </c>
    </row>
    <row r="18" spans="1:39" ht="16.5" customHeight="1">
      <c r="A18" s="240"/>
      <c r="B18" s="28">
        <f>IF($A18="","",CONCATENATE(VLOOKUP($A18,seznam!$A$2:$B$50,2)," (",VLOOKUP($A18,seznam!$A$2:$E$51,4),")"))</f>
      </c>
      <c r="C18" s="29">
        <f>IF(Z19+AA19=0,"",CONCATENATE(Z19,":",AA19))</f>
      </c>
      <c r="D18" s="30">
        <f>IF(Z22+AA22=0,"",CONCATENATE(AA22,":",Z22))</f>
      </c>
      <c r="E18" s="30" t="s">
        <v>17</v>
      </c>
      <c r="F18" s="22">
        <f>IF(Z16+AA16=0,"",CONCATENATE(Z16,":",AA16))</f>
      </c>
      <c r="G18" s="31">
        <f>IF(Z17+AA17=0,"",CONCATENATE(AA17,":",Z17))</f>
      </c>
      <c r="H18" s="32">
        <f>IF(AF16+AG17+AF19+AG22=0,"",AF16+AG17+AF19+AG22)</f>
      </c>
      <c r="I18" s="31"/>
      <c r="K18" s="4" t="str">
        <f t="shared" si="15"/>
        <v>bye - bye</v>
      </c>
      <c r="L18" s="4">
        <f t="shared" si="16"/>
      </c>
      <c r="N18" s="4" t="str">
        <f t="shared" si="29"/>
        <v>Dvouhra - Skupina B</v>
      </c>
      <c r="O18" s="4">
        <f>A16</f>
        <v>0</v>
      </c>
      <c r="P18" s="4" t="str">
        <f>IF($O18=0,"bye",VLOOKUP($O18,seznam!$A$2:$C$50,2))</f>
        <v>bye</v>
      </c>
      <c r="Q18" s="4">
        <f>IF($O18=0,"",VLOOKUP($O18,seznam!$A$2:$D$50,4))</f>
      </c>
      <c r="R18" s="4">
        <f>A17</f>
        <v>0</v>
      </c>
      <c r="S18" s="4" t="str">
        <f>IF($R18=0,"bye",VLOOKUP($R18,seznam!$A$2:$C$50,2))</f>
        <v>bye</v>
      </c>
      <c r="T18" s="4">
        <f>IF($R18=0,"",VLOOKUP($R18,seznam!$A$2:$D$50,4))</f>
      </c>
      <c r="U18" s="25"/>
      <c r="V18" s="26"/>
      <c r="W18" s="26"/>
      <c r="X18" s="26"/>
      <c r="Y18" s="27"/>
      <c r="Z18" s="4">
        <f t="shared" si="17"/>
        <v>0</v>
      </c>
      <c r="AA18" s="4">
        <f t="shared" si="18"/>
        <v>0</v>
      </c>
      <c r="AB18" s="4">
        <f t="shared" si="19"/>
        <v>0</v>
      </c>
      <c r="AC18" s="4">
        <f>IF($AB18=0,"",VLOOKUP($AB18,seznam!$A$2:$C$50,2))</f>
      </c>
      <c r="AD18" s="4">
        <f t="shared" si="20"/>
      </c>
      <c r="AE18" s="4">
        <f t="shared" si="21"/>
      </c>
      <c r="AF18" s="4">
        <f t="shared" si="22"/>
        <v>0</v>
      </c>
      <c r="AG18" s="4">
        <f t="shared" si="23"/>
        <v>0</v>
      </c>
      <c r="AI18" s="4">
        <f t="shared" si="24"/>
        <v>0</v>
      </c>
      <c r="AJ18" s="4">
        <f t="shared" si="25"/>
        <v>0</v>
      </c>
      <c r="AK18" s="4">
        <f t="shared" si="26"/>
        <v>0</v>
      </c>
      <c r="AL18" s="4">
        <f t="shared" si="27"/>
        <v>0</v>
      </c>
      <c r="AM18" s="4">
        <f t="shared" si="28"/>
        <v>0</v>
      </c>
    </row>
    <row r="19" spans="1:39" ht="16.5" customHeight="1">
      <c r="A19" s="242"/>
      <c r="B19" s="28">
        <f>IF($A19="","",CONCATENATE(VLOOKUP($A19,seznam!$A$2:$B$50,2)," (",VLOOKUP($A19,seznam!$A$2:$E$51,4),")"))</f>
      </c>
      <c r="C19" s="29">
        <f>IF(Z21+AA21=0,"",CONCATENATE(AA21,":",Z21))</f>
      </c>
      <c r="D19" s="30">
        <f>IF(Z23+AA23=0,"",CONCATENATE(Z23,":",AA23))</f>
      </c>
      <c r="E19" s="30">
        <f>IF(Z16+AA16=0,"",CONCATENATE(AA16,":",Z16))</f>
      </c>
      <c r="F19" s="30" t="s">
        <v>17</v>
      </c>
      <c r="G19" s="31">
        <f>IF(Z20+AA20=0,"",CONCATENATE(Z20,":",AA20))</f>
      </c>
      <c r="H19" s="32">
        <f>IF(AG16+AF20+AG21+AF23=0,"",AG16+AF20+AG21+AF23)</f>
      </c>
      <c r="I19" s="42"/>
      <c r="K19" s="4" t="str">
        <f t="shared" si="15"/>
        <v>bye - bye</v>
      </c>
      <c r="L19" s="4">
        <f t="shared" si="16"/>
      </c>
      <c r="N19" s="4" t="str">
        <f t="shared" si="29"/>
        <v>Dvouhra - Skupina B</v>
      </c>
      <c r="O19" s="4">
        <f>A18</f>
        <v>0</v>
      </c>
      <c r="P19" s="4" t="str">
        <f>IF($O19=0,"bye",VLOOKUP($O19,seznam!$A$2:$C$50,2))</f>
        <v>bye</v>
      </c>
      <c r="Q19" s="4">
        <f>IF($O19=0,"",VLOOKUP($O19,seznam!$A$2:$D$50,4))</f>
      </c>
      <c r="R19" s="4">
        <f>A16</f>
        <v>0</v>
      </c>
      <c r="S19" s="4" t="str">
        <f>IF($R19=0,"bye",VLOOKUP($R19,seznam!$A$2:$C$50,2))</f>
        <v>bye</v>
      </c>
      <c r="T19" s="4">
        <f>IF($R19=0,"",VLOOKUP($R19,seznam!$A$2:$D$50,4))</f>
      </c>
      <c r="U19" s="25"/>
      <c r="V19" s="26"/>
      <c r="W19" s="26"/>
      <c r="X19" s="26"/>
      <c r="Y19" s="27"/>
      <c r="Z19" s="4">
        <f t="shared" si="17"/>
        <v>0</v>
      </c>
      <c r="AA19" s="4">
        <f t="shared" si="18"/>
        <v>0</v>
      </c>
      <c r="AB19" s="4">
        <f t="shared" si="19"/>
        <v>0</v>
      </c>
      <c r="AC19" s="4">
        <f>IF($AB19=0,"",VLOOKUP($AB19,seznam!$A$2:$C$50,2))</f>
      </c>
      <c r="AD19" s="4">
        <f t="shared" si="20"/>
      </c>
      <c r="AE19" s="4">
        <f t="shared" si="21"/>
      </c>
      <c r="AF19" s="4">
        <f t="shared" si="22"/>
        <v>0</v>
      </c>
      <c r="AG19" s="4">
        <f t="shared" si="23"/>
        <v>0</v>
      </c>
      <c r="AI19" s="4">
        <f t="shared" si="24"/>
        <v>0</v>
      </c>
      <c r="AJ19" s="4">
        <f t="shared" si="25"/>
        <v>0</v>
      </c>
      <c r="AK19" s="4">
        <f t="shared" si="26"/>
        <v>0</v>
      </c>
      <c r="AL19" s="4">
        <f t="shared" si="27"/>
        <v>0</v>
      </c>
      <c r="AM19" s="4">
        <f t="shared" si="28"/>
        <v>0</v>
      </c>
    </row>
    <row r="20" spans="1:39" ht="16.5" customHeight="1" thickBot="1">
      <c r="A20" s="241"/>
      <c r="B20" s="33">
        <f>IF($A20="","",CONCATENATE(VLOOKUP($A20,seznam!$A$2:$B$50,2)," (",VLOOKUP($A20,seznam!$A$2:$E$51,4),")"))</f>
      </c>
      <c r="C20" s="34">
        <f>IF(Z24+AA24=0,"",CONCATENATE(Z24,":",AA24))</f>
      </c>
      <c r="D20" s="35">
        <f>IF(Z15+AA15=0,"",CONCATENATE(AA15,":",Z15))</f>
      </c>
      <c r="E20" s="35">
        <f>IF(Z17+AA17=0,"",CONCATENATE(Z17,":",AA17))</f>
      </c>
      <c r="F20" s="43">
        <f>IF(Z20+AA20=0,"",CONCATENATE(AA20,":",Z20))</f>
      </c>
      <c r="G20" s="36" t="s">
        <v>17</v>
      </c>
      <c r="H20" s="37">
        <f>IF(AG15+AF17+AG20+AF24=0,"",AG15+AF17+AG20+AF24)</f>
      </c>
      <c r="I20" s="36"/>
      <c r="K20" s="4" t="str">
        <f t="shared" si="15"/>
        <v>bye - bye</v>
      </c>
      <c r="L20" s="4">
        <f t="shared" si="16"/>
      </c>
      <c r="N20" s="4" t="str">
        <f t="shared" si="29"/>
        <v>Dvouhra - Skupina B</v>
      </c>
      <c r="O20" s="4">
        <f>A19</f>
        <v>0</v>
      </c>
      <c r="P20" s="4" t="str">
        <f>IF($O20=0,"bye",VLOOKUP($O20,seznam!$A$2:$C$50,2))</f>
        <v>bye</v>
      </c>
      <c r="Q20" s="4">
        <f>IF($O20=0,"",VLOOKUP($O20,seznam!$A$2:$D$50,4))</f>
      </c>
      <c r="R20" s="4">
        <f>A20</f>
        <v>0</v>
      </c>
      <c r="S20" s="4" t="str">
        <f>IF($R20=0,"bye",VLOOKUP($R20,seznam!$A$2:$C$50,2))</f>
        <v>bye</v>
      </c>
      <c r="T20" s="4">
        <f>IF($R20=0,"",VLOOKUP($R20,seznam!$A$2:$D$50,4))</f>
      </c>
      <c r="U20" s="25"/>
      <c r="V20" s="26"/>
      <c r="W20" s="26"/>
      <c r="X20" s="26"/>
      <c r="Y20" s="27"/>
      <c r="Z20" s="4">
        <f t="shared" si="17"/>
        <v>0</v>
      </c>
      <c r="AA20" s="4">
        <f t="shared" si="18"/>
        <v>0</v>
      </c>
      <c r="AB20" s="4">
        <f t="shared" si="19"/>
        <v>0</v>
      </c>
      <c r="AC20" s="4">
        <f>IF($AB20=0,"",VLOOKUP($AB20,seznam!$A$2:$C$50,2))</f>
      </c>
      <c r="AD20" s="4">
        <f t="shared" si="20"/>
      </c>
      <c r="AE20" s="4">
        <f t="shared" si="21"/>
      </c>
      <c r="AF20" s="4">
        <f t="shared" si="22"/>
        <v>0</v>
      </c>
      <c r="AG20" s="4">
        <f t="shared" si="23"/>
        <v>0</v>
      </c>
      <c r="AI20" s="4">
        <f t="shared" si="24"/>
        <v>0</v>
      </c>
      <c r="AJ20" s="4">
        <f t="shared" si="25"/>
        <v>0</v>
      </c>
      <c r="AK20" s="4">
        <f t="shared" si="26"/>
        <v>0</v>
      </c>
      <c r="AL20" s="4">
        <f t="shared" si="27"/>
        <v>0</v>
      </c>
      <c r="AM20" s="4">
        <f t="shared" si="28"/>
        <v>0</v>
      </c>
    </row>
    <row r="21" spans="11:39" ht="16.5" customHeight="1" thickTop="1">
      <c r="K21" s="4" t="str">
        <f t="shared" si="15"/>
        <v>bye - bye</v>
      </c>
      <c r="L21" s="4">
        <f t="shared" si="16"/>
      </c>
      <c r="N21" s="4" t="str">
        <f t="shared" si="29"/>
        <v>Dvouhra - Skupina B</v>
      </c>
      <c r="O21" s="4">
        <f>A16</f>
        <v>0</v>
      </c>
      <c r="P21" s="4" t="str">
        <f>IF($O21=0,"bye",VLOOKUP($O21,seznam!$A$2:$C$50,2))</f>
        <v>bye</v>
      </c>
      <c r="Q21" s="4">
        <f>IF($O21=0,"",VLOOKUP($O21,seznam!$A$2:$D$50,4))</f>
      </c>
      <c r="R21" s="4">
        <f>A19</f>
        <v>0</v>
      </c>
      <c r="S21" s="4" t="str">
        <f>IF($R21=0,"bye",VLOOKUP($R21,seznam!$A$2:$C$50,2))</f>
        <v>bye</v>
      </c>
      <c r="T21" s="9"/>
      <c r="U21" s="25"/>
      <c r="V21" s="26"/>
      <c r="W21" s="26"/>
      <c r="X21" s="26"/>
      <c r="Y21" s="27"/>
      <c r="Z21" s="4">
        <f t="shared" si="17"/>
        <v>0</v>
      </c>
      <c r="AA21" s="4">
        <f t="shared" si="18"/>
        <v>0</v>
      </c>
      <c r="AB21" s="4">
        <f t="shared" si="19"/>
        <v>0</v>
      </c>
      <c r="AC21" s="4">
        <f>IF($AB21=0,"",VLOOKUP($AB21,seznam!$A$2:$C$50,2))</f>
      </c>
      <c r="AD21" s="4">
        <f t="shared" si="20"/>
      </c>
      <c r="AE21" s="4">
        <f t="shared" si="21"/>
      </c>
      <c r="AF21" s="4">
        <f t="shared" si="22"/>
        <v>0</v>
      </c>
      <c r="AG21" s="4">
        <f t="shared" si="23"/>
        <v>0</v>
      </c>
      <c r="AI21" s="4">
        <f t="shared" si="24"/>
        <v>0</v>
      </c>
      <c r="AJ21" s="4">
        <f t="shared" si="25"/>
        <v>0</v>
      </c>
      <c r="AK21" s="4">
        <f t="shared" si="26"/>
        <v>0</v>
      </c>
      <c r="AL21" s="4">
        <f t="shared" si="27"/>
        <v>0</v>
      </c>
      <c r="AM21" s="4">
        <f t="shared" si="28"/>
        <v>0</v>
      </c>
    </row>
    <row r="22" spans="11:39" ht="16.5" customHeight="1">
      <c r="K22" s="4" t="str">
        <f t="shared" si="15"/>
        <v>bye - bye</v>
      </c>
      <c r="L22" s="4">
        <f t="shared" si="16"/>
      </c>
      <c r="N22" s="4" t="str">
        <f t="shared" si="29"/>
        <v>Dvouhra - Skupina B</v>
      </c>
      <c r="O22" s="4">
        <f>A17</f>
        <v>0</v>
      </c>
      <c r="P22" s="4" t="str">
        <f>IF($O22=0,"bye",VLOOKUP($O22,seznam!$A$2:$C$50,2))</f>
        <v>bye</v>
      </c>
      <c r="Q22" s="4">
        <f>IF($O22=0,"",VLOOKUP($O22,seznam!$A$2:$D$50,4))</f>
      </c>
      <c r="R22" s="4">
        <f>A18</f>
        <v>0</v>
      </c>
      <c r="S22" s="4" t="str">
        <f>IF($R22=0,"bye",VLOOKUP($R22,seznam!$A$2:$C$50,2))</f>
        <v>bye</v>
      </c>
      <c r="U22" s="25"/>
      <c r="V22" s="26"/>
      <c r="W22" s="26"/>
      <c r="X22" s="26"/>
      <c r="Y22" s="27"/>
      <c r="Z22" s="4">
        <f t="shared" si="17"/>
        <v>0</v>
      </c>
      <c r="AA22" s="4">
        <f t="shared" si="18"/>
        <v>0</v>
      </c>
      <c r="AB22" s="4">
        <f t="shared" si="19"/>
        <v>0</v>
      </c>
      <c r="AC22" s="4">
        <f>IF($AB22=0,"",VLOOKUP($AB22,seznam!$A$2:$C$50,2))</f>
      </c>
      <c r="AD22" s="4">
        <f t="shared" si="20"/>
      </c>
      <c r="AE22" s="4">
        <f t="shared" si="21"/>
      </c>
      <c r="AF22" s="4">
        <f t="shared" si="22"/>
        <v>0</v>
      </c>
      <c r="AG22" s="4">
        <f t="shared" si="23"/>
        <v>0</v>
      </c>
      <c r="AI22" s="4">
        <f t="shared" si="24"/>
        <v>0</v>
      </c>
      <c r="AJ22" s="4">
        <f t="shared" si="25"/>
        <v>0</v>
      </c>
      <c r="AK22" s="4">
        <f t="shared" si="26"/>
        <v>0</v>
      </c>
      <c r="AL22" s="4">
        <f t="shared" si="27"/>
        <v>0</v>
      </c>
      <c r="AM22" s="4">
        <f t="shared" si="28"/>
        <v>0</v>
      </c>
    </row>
    <row r="23" spans="11:39" ht="16.5" customHeight="1">
      <c r="K23" s="4" t="str">
        <f t="shared" si="15"/>
        <v>bye - bye</v>
      </c>
      <c r="L23" s="4">
        <f t="shared" si="16"/>
      </c>
      <c r="N23" s="4" t="str">
        <f t="shared" si="29"/>
        <v>Dvouhra - Skupina B</v>
      </c>
      <c r="O23" s="4">
        <f>A19</f>
        <v>0</v>
      </c>
      <c r="P23" s="4" t="str">
        <f>IF($O23=0,"bye",VLOOKUP($O23,seznam!$A$2:$C$50,2))</f>
        <v>bye</v>
      </c>
      <c r="Q23" s="4">
        <f>IF($O23=0,"",VLOOKUP($O23,seznam!$A$2:$D$50,4))</f>
      </c>
      <c r="R23" s="4">
        <f>A17</f>
        <v>0</v>
      </c>
      <c r="S23" s="4" t="str">
        <f>IF($R23=0,"bye",VLOOKUP($R23,seznam!$A$2:$C$50,2))</f>
        <v>bye</v>
      </c>
      <c r="U23" s="25"/>
      <c r="V23" s="26"/>
      <c r="W23" s="26"/>
      <c r="X23" s="26"/>
      <c r="Y23" s="27"/>
      <c r="Z23" s="4">
        <f t="shared" si="17"/>
        <v>0</v>
      </c>
      <c r="AA23" s="4">
        <f t="shared" si="18"/>
        <v>0</v>
      </c>
      <c r="AB23" s="4">
        <f t="shared" si="19"/>
        <v>0</v>
      </c>
      <c r="AC23" s="4">
        <f>IF($AB23=0,"",VLOOKUP($AB23,seznam!$A$2:$C$50,2))</f>
      </c>
      <c r="AD23" s="4">
        <f t="shared" si="20"/>
      </c>
      <c r="AE23" s="4">
        <f t="shared" si="21"/>
      </c>
      <c r="AF23" s="4">
        <f t="shared" si="22"/>
        <v>0</v>
      </c>
      <c r="AG23" s="4">
        <f t="shared" si="23"/>
        <v>0</v>
      </c>
      <c r="AI23" s="4">
        <f t="shared" si="24"/>
        <v>0</v>
      </c>
      <c r="AJ23" s="4">
        <f t="shared" si="25"/>
        <v>0</v>
      </c>
      <c r="AK23" s="4">
        <f t="shared" si="26"/>
        <v>0</v>
      </c>
      <c r="AL23" s="4">
        <f t="shared" si="27"/>
        <v>0</v>
      </c>
      <c r="AM23" s="4">
        <f t="shared" si="28"/>
        <v>0</v>
      </c>
    </row>
    <row r="24" spans="11:39" ht="16.5" customHeight="1" thickBot="1">
      <c r="K24" s="4" t="str">
        <f t="shared" si="15"/>
        <v>bye - bye</v>
      </c>
      <c r="L24" s="4">
        <f t="shared" si="16"/>
      </c>
      <c r="N24" s="4" t="str">
        <f t="shared" si="29"/>
        <v>Dvouhra - Skupina B</v>
      </c>
      <c r="O24" s="4">
        <f>A20</f>
        <v>0</v>
      </c>
      <c r="P24" s="4" t="str">
        <f>IF($O24=0,"bye",VLOOKUP($O24,seznam!$A$2:$C$50,2))</f>
        <v>bye</v>
      </c>
      <c r="Q24" s="4">
        <f>IF($O24=0,"",VLOOKUP($O24,seznam!$A$2:$D$50,4))</f>
      </c>
      <c r="R24" s="4">
        <f>A16</f>
        <v>0</v>
      </c>
      <c r="S24" s="4" t="str">
        <f>IF($R24=0,"bye",VLOOKUP($R24,seznam!$A$2:$C$50,2))</f>
        <v>bye</v>
      </c>
      <c r="U24" s="38"/>
      <c r="V24" s="39"/>
      <c r="W24" s="39"/>
      <c r="X24" s="39"/>
      <c r="Y24" s="40"/>
      <c r="Z24" s="4">
        <f t="shared" si="17"/>
        <v>0</v>
      </c>
      <c r="AA24" s="4">
        <f t="shared" si="18"/>
        <v>0</v>
      </c>
      <c r="AB24" s="4">
        <f t="shared" si="19"/>
        <v>0</v>
      </c>
      <c r="AC24" s="4">
        <f>IF($AB24=0,"",VLOOKUP($AB24,seznam!$A$2:$C$50,2))</f>
      </c>
      <c r="AD24" s="4">
        <f t="shared" si="20"/>
      </c>
      <c r="AE24" s="4">
        <f t="shared" si="21"/>
      </c>
      <c r="AF24" s="4">
        <f t="shared" si="22"/>
        <v>0</v>
      </c>
      <c r="AG24" s="4">
        <f t="shared" si="23"/>
        <v>0</v>
      </c>
      <c r="AI24" s="4">
        <f t="shared" si="24"/>
        <v>0</v>
      </c>
      <c r="AJ24" s="4">
        <f t="shared" si="25"/>
        <v>0</v>
      </c>
      <c r="AK24" s="4">
        <f t="shared" si="26"/>
        <v>0</v>
      </c>
      <c r="AL24" s="4">
        <f t="shared" si="27"/>
        <v>0</v>
      </c>
      <c r="AM24" s="4">
        <f t="shared" si="28"/>
        <v>0</v>
      </c>
    </row>
    <row r="25" spans="1:28" ht="16.5" customHeight="1" thickBot="1" thickTop="1">
      <c r="A25" s="3"/>
      <c r="B25" s="3"/>
      <c r="C25" s="5"/>
      <c r="D25" s="3"/>
      <c r="E25" s="3"/>
      <c r="F25" s="3"/>
      <c r="G25" s="3"/>
      <c r="H25" s="7"/>
      <c r="L25" s="8"/>
      <c r="N25" s="9" t="str">
        <f>B26</f>
        <v>Skupina C</v>
      </c>
      <c r="O25" s="9" t="s">
        <v>3</v>
      </c>
      <c r="P25" s="9" t="s">
        <v>46</v>
      </c>
      <c r="Q25" s="9" t="s">
        <v>4</v>
      </c>
      <c r="R25" s="9" t="s">
        <v>3</v>
      </c>
      <c r="S25" s="9" t="s">
        <v>47</v>
      </c>
      <c r="T25" s="9" t="s">
        <v>4</v>
      </c>
      <c r="U25" s="10" t="s">
        <v>5</v>
      </c>
      <c r="V25" s="10" t="s">
        <v>6</v>
      </c>
      <c r="W25" s="10" t="s">
        <v>7</v>
      </c>
      <c r="X25" s="10" t="s">
        <v>8</v>
      </c>
      <c r="Y25" s="10" t="s">
        <v>9</v>
      </c>
      <c r="Z25" s="9" t="s">
        <v>10</v>
      </c>
      <c r="AA25" s="9" t="s">
        <v>11</v>
      </c>
      <c r="AB25" s="9" t="s">
        <v>12</v>
      </c>
    </row>
    <row r="26" spans="1:39" ht="16.5" customHeight="1" thickBot="1" thickTop="1">
      <c r="A26" s="11"/>
      <c r="B26" s="12" t="s">
        <v>19</v>
      </c>
      <c r="C26" s="13">
        <v>1</v>
      </c>
      <c r="D26" s="14">
        <v>2</v>
      </c>
      <c r="E26" s="14">
        <v>3</v>
      </c>
      <c r="F26" s="41">
        <v>4</v>
      </c>
      <c r="G26" s="15">
        <v>5</v>
      </c>
      <c r="H26" s="16" t="s">
        <v>15</v>
      </c>
      <c r="I26" s="15" t="s">
        <v>16</v>
      </c>
      <c r="K26" s="4" t="str">
        <f aca="true" t="shared" si="30" ref="K26:K35">CONCATENATE(P26," - ",S26)</f>
        <v>bye - bye</v>
      </c>
      <c r="L26" s="4">
        <f aca="true" t="shared" si="31" ref="L26:L35">IF(SUM(Z26:AA26)=0,AE26,CONCATENATE(Z26," : ",AA26," (",U26,",",V26,",",W26,IF(Z26+AA26&gt;3,",",""),X26,IF(Z26+AA26&gt;4,",",""),Y26,")"))</f>
      </c>
      <c r="N26" s="4" t="str">
        <f>CONCATENATE("Dvouhra - Skupina C")</f>
        <v>Dvouhra - Skupina C</v>
      </c>
      <c r="O26" s="4">
        <f>A28</f>
        <v>0</v>
      </c>
      <c r="P26" s="4" t="str">
        <f>IF($O26=0,"bye",VLOOKUP($O26,seznam!$A$2:$C$50,2))</f>
        <v>bye</v>
      </c>
      <c r="Q26" s="4">
        <f>IF($O26=0,"",VLOOKUP($O26,seznam!$A$2:$D$50,4))</f>
      </c>
      <c r="R26" s="4">
        <f>A31</f>
        <v>0</v>
      </c>
      <c r="S26" s="4" t="str">
        <f>IF($R26=0,"bye",VLOOKUP($R26,seznam!$A$2:$C$50,2))</f>
        <v>bye</v>
      </c>
      <c r="T26" s="4">
        <f>IF($R26=0,"",VLOOKUP($R26,seznam!$A$2:$D$50,4))</f>
      </c>
      <c r="U26" s="17"/>
      <c r="V26" s="18"/>
      <c r="W26" s="18"/>
      <c r="X26" s="18"/>
      <c r="Y26" s="19"/>
      <c r="Z26" s="4">
        <f aca="true" t="shared" si="32" ref="Z26:Z35">COUNTIF(AI26:AM26,"&gt;0")</f>
        <v>0</v>
      </c>
      <c r="AA26" s="4">
        <f aca="true" t="shared" si="33" ref="AA26:AA35">COUNTIF(AI26:AM26,"&lt;0")</f>
        <v>0</v>
      </c>
      <c r="AB26" s="4">
        <f aca="true" t="shared" si="34" ref="AB26:AB35">IF(Z26=AA26,0,IF(Z26&gt;AA26,O26,R26))</f>
        <v>0</v>
      </c>
      <c r="AC26" s="4">
        <f>IF($AB26=0,"",VLOOKUP($AB26,seznam!$A$2:$C$50,2))</f>
      </c>
      <c r="AD26" s="4">
        <f aca="true" t="shared" si="35" ref="AD26:AD35">IF(Z26=AA26,"",IF(Z26&gt;AA26,CONCATENATE(Z26,":",AA26," (",U26,",",V26,",",W26,IF(SUM(Z26:AA26)&gt;3,",",""),X26,IF(SUM(Z26:AA26)&gt;4,",",""),Y26,")"),CONCATENATE(AA26,":",Z26," (",-U26,",",-V26,",",-W26,IF(SUM(Z26:AA26)&gt;3,CONCATENATE(",",-X26),""),IF(SUM(Z26:AA26)&gt;4,CONCATENATE(",",-Y26),""),")")))</f>
      </c>
      <c r="AE26" s="4">
        <f aca="true" t="shared" si="36" ref="AE26:AE35">IF(SUM(Z26:AA26)=0,"",AD26)</f>
      </c>
      <c r="AF26" s="4">
        <f aca="true" t="shared" si="37" ref="AF26:AF35">IF(U26="",0,IF(Z26&gt;AA26,2,1))</f>
        <v>0</v>
      </c>
      <c r="AG26" s="4">
        <f aca="true" t="shared" si="38" ref="AG26:AG35">IF(U26="",0,IF(AA26&gt;Z26,2,1))</f>
        <v>0</v>
      </c>
      <c r="AI26" s="4">
        <f aca="true" t="shared" si="39" ref="AI26:AI35">IF(U26="",0,IF(MID(U26,1,1)="-",-1,1))</f>
        <v>0</v>
      </c>
      <c r="AJ26" s="4">
        <f aca="true" t="shared" si="40" ref="AJ26:AJ35">IF(V26="",0,IF(MID(V26,1,1)="-",-1,1))</f>
        <v>0</v>
      </c>
      <c r="AK26" s="4">
        <f aca="true" t="shared" si="41" ref="AK26:AK35">IF(W26="",0,IF(MID(W26,1,1)="-",-1,1))</f>
        <v>0</v>
      </c>
      <c r="AL26" s="4">
        <f aca="true" t="shared" si="42" ref="AL26:AL35">IF(X26="",0,IF(MID(X26,1,1)="-",-1,1))</f>
        <v>0</v>
      </c>
      <c r="AM26" s="4">
        <f aca="true" t="shared" si="43" ref="AM26:AM35">IF(Y26="",0,IF(MID(Y26,1,1)="-",-1,1))</f>
        <v>0</v>
      </c>
    </row>
    <row r="27" spans="1:39" ht="16.5" customHeight="1" thickTop="1">
      <c r="A27" s="239"/>
      <c r="B27" s="20">
        <f>IF($A27="","",CONCATENATE(VLOOKUP($A27,seznam!$A$2:$B$50,2)," (",VLOOKUP($A27,seznam!$A$2:$E$51,4),")"))</f>
      </c>
      <c r="C27" s="21" t="s">
        <v>17</v>
      </c>
      <c r="D27" s="22">
        <f>IF(Z29+AA29=0,"",CONCATENATE(Z29,":",AA29))</f>
      </c>
      <c r="E27" s="22">
        <f>IF(Z30+AA30=0,"",CONCATENATE(AA30,":",Z30))</f>
      </c>
      <c r="F27" s="22">
        <f>IF(Z32+AA32=0,"",CONCATENATE(Z32,":",AA32))</f>
      </c>
      <c r="G27" s="23">
        <f>IF(Z35+AA35=0,"",CONCATENATE(AA35,":",Z35))</f>
      </c>
      <c r="H27" s="24">
        <f>IF(AF29+AG30+AF32+AG35=0,"",AF29+AG30+AF32+AG35)</f>
      </c>
      <c r="I27" s="23"/>
      <c r="K27" s="4" t="str">
        <f t="shared" si="30"/>
        <v>bye - bye</v>
      </c>
      <c r="L27" s="4">
        <f t="shared" si="31"/>
      </c>
      <c r="N27" s="4" t="str">
        <f aca="true" t="shared" si="44" ref="N27:N35">CONCATENATE("Dvouhra - Skupina C")</f>
        <v>Dvouhra - Skupina C</v>
      </c>
      <c r="O27" s="4">
        <f>A29</f>
        <v>0</v>
      </c>
      <c r="P27" s="4" t="str">
        <f>IF($O27=0,"bye",VLOOKUP($O27,seznam!$A$2:$C$50,2))</f>
        <v>bye</v>
      </c>
      <c r="Q27" s="4">
        <f>IF($O27=0,"",VLOOKUP($O27,seznam!$A$2:$D$50,4))</f>
      </c>
      <c r="R27" s="4">
        <f>A30</f>
        <v>0</v>
      </c>
      <c r="S27" s="4" t="str">
        <f>IF($R27=0,"bye",VLOOKUP($R27,seznam!$A$2:$C$50,2))</f>
        <v>bye</v>
      </c>
      <c r="T27" s="4">
        <f>IF($R27=0,"",VLOOKUP($R27,seznam!$A$2:$D$50,4))</f>
      </c>
      <c r="U27" s="25"/>
      <c r="V27" s="26"/>
      <c r="W27" s="26"/>
      <c r="X27" s="26"/>
      <c r="Y27" s="27"/>
      <c r="Z27" s="4">
        <f t="shared" si="32"/>
        <v>0</v>
      </c>
      <c r="AA27" s="4">
        <f t="shared" si="33"/>
        <v>0</v>
      </c>
      <c r="AB27" s="4">
        <f t="shared" si="34"/>
        <v>0</v>
      </c>
      <c r="AC27" s="4">
        <f>IF($AB27=0,"",VLOOKUP($AB27,seznam!$A$2:$C$50,2))</f>
      </c>
      <c r="AD27" s="4">
        <f t="shared" si="35"/>
      </c>
      <c r="AE27" s="4">
        <f t="shared" si="36"/>
      </c>
      <c r="AF27" s="4">
        <f t="shared" si="37"/>
        <v>0</v>
      </c>
      <c r="AG27" s="4">
        <f t="shared" si="38"/>
        <v>0</v>
      </c>
      <c r="AI27" s="4">
        <f t="shared" si="39"/>
        <v>0</v>
      </c>
      <c r="AJ27" s="4">
        <f t="shared" si="40"/>
        <v>0</v>
      </c>
      <c r="AK27" s="4">
        <f t="shared" si="41"/>
        <v>0</v>
      </c>
      <c r="AL27" s="4">
        <f t="shared" si="42"/>
        <v>0</v>
      </c>
      <c r="AM27" s="4">
        <f t="shared" si="43"/>
        <v>0</v>
      </c>
    </row>
    <row r="28" spans="1:39" ht="16.5" customHeight="1">
      <c r="A28" s="240"/>
      <c r="B28" s="28">
        <f>IF($A28="","",CONCATENATE(VLOOKUP($A28,seznam!$A$2:$B$50,2)," (",VLOOKUP($A28,seznam!$A$2:$E$51,4),")"))</f>
      </c>
      <c r="C28" s="29">
        <f>IF(Z29+AA29=0,"",CONCATENATE(AA29,":",Z29))</f>
      </c>
      <c r="D28" s="30" t="s">
        <v>17</v>
      </c>
      <c r="E28" s="30">
        <f>IF(Z33+AA33=0,"",CONCATENATE(Z33,":",AA33))</f>
      </c>
      <c r="F28" s="22">
        <f>IF(Z34+AA34=0,"",CONCATENATE(AA34,":",Z34))</f>
      </c>
      <c r="G28" s="31">
        <f>IF(Z26+AA26=0,"",CONCATENATE(Z26,":",AA26))</f>
      </c>
      <c r="H28" s="32">
        <f>IF(AF26+AG29+AF33+AG34=0,"",AF26+AG29+AF33+AG34)</f>
      </c>
      <c r="I28" s="31"/>
      <c r="K28" s="4" t="str">
        <f t="shared" si="30"/>
        <v>bye - bye</v>
      </c>
      <c r="L28" s="4">
        <f t="shared" si="31"/>
      </c>
      <c r="N28" s="4" t="str">
        <f t="shared" si="44"/>
        <v>Dvouhra - Skupina C</v>
      </c>
      <c r="O28" s="4">
        <f>A31</f>
        <v>0</v>
      </c>
      <c r="P28" s="4" t="str">
        <f>IF($O28=0,"bye",VLOOKUP($O28,seznam!$A$2:$C$50,2))</f>
        <v>bye</v>
      </c>
      <c r="Q28" s="4">
        <f>IF($O28=0,"",VLOOKUP($O28,seznam!$A$2:$D$50,4))</f>
      </c>
      <c r="R28" s="4">
        <f>A29</f>
        <v>0</v>
      </c>
      <c r="S28" s="4" t="str">
        <f>IF($R28=0,"bye",VLOOKUP($R28,seznam!$A$2:$C$50,2))</f>
        <v>bye</v>
      </c>
      <c r="T28" s="4">
        <f>IF($R28=0,"",VLOOKUP($R28,seznam!$A$2:$D$50,4))</f>
      </c>
      <c r="U28" s="25"/>
      <c r="V28" s="26"/>
      <c r="W28" s="26"/>
      <c r="X28" s="26"/>
      <c r="Y28" s="27"/>
      <c r="Z28" s="4">
        <f t="shared" si="32"/>
        <v>0</v>
      </c>
      <c r="AA28" s="4">
        <f t="shared" si="33"/>
        <v>0</v>
      </c>
      <c r="AB28" s="4">
        <f t="shared" si="34"/>
        <v>0</v>
      </c>
      <c r="AC28" s="4">
        <f>IF($AB28=0,"",VLOOKUP($AB28,seznam!$A$2:$C$50,2))</f>
      </c>
      <c r="AD28" s="4">
        <f t="shared" si="35"/>
      </c>
      <c r="AE28" s="4">
        <f t="shared" si="36"/>
      </c>
      <c r="AF28" s="4">
        <f t="shared" si="37"/>
        <v>0</v>
      </c>
      <c r="AG28" s="4">
        <f t="shared" si="38"/>
        <v>0</v>
      </c>
      <c r="AI28" s="4">
        <f t="shared" si="39"/>
        <v>0</v>
      </c>
      <c r="AJ28" s="4">
        <f t="shared" si="40"/>
        <v>0</v>
      </c>
      <c r="AK28" s="4">
        <f t="shared" si="41"/>
        <v>0</v>
      </c>
      <c r="AL28" s="4">
        <f t="shared" si="42"/>
        <v>0</v>
      </c>
      <c r="AM28" s="4">
        <f t="shared" si="43"/>
        <v>0</v>
      </c>
    </row>
    <row r="29" spans="1:39" ht="16.5" customHeight="1">
      <c r="A29" s="240"/>
      <c r="B29" s="28">
        <f>IF($A29="","",CONCATENATE(VLOOKUP($A29,seznam!$A$2:$B$50,2)," (",VLOOKUP($A29,seznam!$A$2:$E$51,4),")"))</f>
      </c>
      <c r="C29" s="29">
        <f>IF(Z30+AA30=0,"",CONCATENATE(Z30,":",AA30))</f>
      </c>
      <c r="D29" s="30">
        <f>IF(Z33+AA33=0,"",CONCATENATE(AA33,":",Z33))</f>
      </c>
      <c r="E29" s="30" t="s">
        <v>17</v>
      </c>
      <c r="F29" s="22">
        <f>IF(Z27+AA27=0,"",CONCATENATE(Z27,":",AA27))</f>
      </c>
      <c r="G29" s="31">
        <f>IF(Z28+AA28=0,"",CONCATENATE(AA28,":",Z28))</f>
      </c>
      <c r="H29" s="32">
        <f>IF(AF27+AG28+AF30+AG33=0,"",AF27+AG28+AF30+AG33)</f>
      </c>
      <c r="I29" s="31"/>
      <c r="K29" s="4" t="str">
        <f t="shared" si="30"/>
        <v>bye - bye</v>
      </c>
      <c r="L29" s="4">
        <f t="shared" si="31"/>
      </c>
      <c r="N29" s="4" t="str">
        <f t="shared" si="44"/>
        <v>Dvouhra - Skupina C</v>
      </c>
      <c r="O29" s="4">
        <f>A27</f>
        <v>0</v>
      </c>
      <c r="P29" s="4" t="str">
        <f>IF($O29=0,"bye",VLOOKUP($O29,seznam!$A$2:$C$50,2))</f>
        <v>bye</v>
      </c>
      <c r="Q29" s="4">
        <f>IF($O29=0,"",VLOOKUP($O29,seznam!$A$2:$D$50,4))</f>
      </c>
      <c r="R29" s="4">
        <f>A28</f>
        <v>0</v>
      </c>
      <c r="S29" s="4" t="str">
        <f>IF($R29=0,"bye",VLOOKUP($R29,seznam!$A$2:$C$50,2))</f>
        <v>bye</v>
      </c>
      <c r="T29" s="4">
        <f>IF($R29=0,"",VLOOKUP($R29,seznam!$A$2:$D$50,4))</f>
      </c>
      <c r="U29" s="25"/>
      <c r="V29" s="26"/>
      <c r="W29" s="26"/>
      <c r="X29" s="26"/>
      <c r="Y29" s="27"/>
      <c r="Z29" s="4">
        <f t="shared" si="32"/>
        <v>0</v>
      </c>
      <c r="AA29" s="4">
        <f t="shared" si="33"/>
        <v>0</v>
      </c>
      <c r="AB29" s="4">
        <f t="shared" si="34"/>
        <v>0</v>
      </c>
      <c r="AC29" s="4">
        <f>IF($AB29=0,"",VLOOKUP($AB29,seznam!$A$2:$C$50,2))</f>
      </c>
      <c r="AD29" s="4">
        <f t="shared" si="35"/>
      </c>
      <c r="AE29" s="4">
        <f t="shared" si="36"/>
      </c>
      <c r="AF29" s="4">
        <f t="shared" si="37"/>
        <v>0</v>
      </c>
      <c r="AG29" s="4">
        <f t="shared" si="38"/>
        <v>0</v>
      </c>
      <c r="AI29" s="4">
        <f t="shared" si="39"/>
        <v>0</v>
      </c>
      <c r="AJ29" s="4">
        <f t="shared" si="40"/>
        <v>0</v>
      </c>
      <c r="AK29" s="4">
        <f t="shared" si="41"/>
        <v>0</v>
      </c>
      <c r="AL29" s="4">
        <f t="shared" si="42"/>
        <v>0</v>
      </c>
      <c r="AM29" s="4">
        <f t="shared" si="43"/>
        <v>0</v>
      </c>
    </row>
    <row r="30" spans="1:39" ht="16.5" customHeight="1">
      <c r="A30" s="242"/>
      <c r="B30" s="28">
        <f>IF($A30="","",CONCATENATE(VLOOKUP($A30,seznam!$A$2:$B$50,2)," (",VLOOKUP($A30,seznam!$A$2:$E$51,4),")"))</f>
      </c>
      <c r="C30" s="29">
        <f>IF(Z32+AA32=0,"",CONCATENATE(AA32,":",Z32))</f>
      </c>
      <c r="D30" s="30">
        <f>IF(Z34+AA34=0,"",CONCATENATE(Z34,":",AA34))</f>
      </c>
      <c r="E30" s="30">
        <f>IF(Z27+AA27=0,"",CONCATENATE(AA27,":",Z27))</f>
      </c>
      <c r="F30" s="30" t="s">
        <v>17</v>
      </c>
      <c r="G30" s="31">
        <f>IF(Z31+AA31=0,"",CONCATENATE(Z31,":",AA31))</f>
      </c>
      <c r="H30" s="32">
        <f>IF(AG27+AF31+AG32+AF34=0,"",AG27+AF31+AG32+AF34)</f>
      </c>
      <c r="I30" s="42"/>
      <c r="K30" s="4" t="str">
        <f t="shared" si="30"/>
        <v>bye - bye</v>
      </c>
      <c r="L30" s="4">
        <f t="shared" si="31"/>
      </c>
      <c r="N30" s="4" t="str">
        <f t="shared" si="44"/>
        <v>Dvouhra - Skupina C</v>
      </c>
      <c r="O30" s="4">
        <f>A29</f>
        <v>0</v>
      </c>
      <c r="P30" s="4" t="str">
        <f>IF($O30=0,"bye",VLOOKUP($O30,seznam!$A$2:$C$50,2))</f>
        <v>bye</v>
      </c>
      <c r="Q30" s="4">
        <f>IF($O30=0,"",VLOOKUP($O30,seznam!$A$2:$D$50,4))</f>
      </c>
      <c r="R30" s="4">
        <f>A27</f>
        <v>0</v>
      </c>
      <c r="S30" s="4" t="str">
        <f>IF($R30=0,"bye",VLOOKUP($R30,seznam!$A$2:$C$50,2))</f>
        <v>bye</v>
      </c>
      <c r="T30" s="4">
        <f>IF($R30=0,"",VLOOKUP($R30,seznam!$A$2:$D$50,4))</f>
      </c>
      <c r="U30" s="25"/>
      <c r="V30" s="26"/>
      <c r="W30" s="26"/>
      <c r="X30" s="26"/>
      <c r="Y30" s="27"/>
      <c r="Z30" s="4">
        <f t="shared" si="32"/>
        <v>0</v>
      </c>
      <c r="AA30" s="4">
        <f t="shared" si="33"/>
        <v>0</v>
      </c>
      <c r="AB30" s="4">
        <f t="shared" si="34"/>
        <v>0</v>
      </c>
      <c r="AC30" s="4">
        <f>IF($AB30=0,"",VLOOKUP($AB30,seznam!$A$2:$C$50,2))</f>
      </c>
      <c r="AD30" s="4">
        <f t="shared" si="35"/>
      </c>
      <c r="AE30" s="4">
        <f t="shared" si="36"/>
      </c>
      <c r="AF30" s="4">
        <f t="shared" si="37"/>
        <v>0</v>
      </c>
      <c r="AG30" s="4">
        <f t="shared" si="38"/>
        <v>0</v>
      </c>
      <c r="AI30" s="4">
        <f t="shared" si="39"/>
        <v>0</v>
      </c>
      <c r="AJ30" s="4">
        <f t="shared" si="40"/>
        <v>0</v>
      </c>
      <c r="AK30" s="4">
        <f t="shared" si="41"/>
        <v>0</v>
      </c>
      <c r="AL30" s="4">
        <f t="shared" si="42"/>
        <v>0</v>
      </c>
      <c r="AM30" s="4">
        <f t="shared" si="43"/>
        <v>0</v>
      </c>
    </row>
    <row r="31" spans="1:39" ht="16.5" customHeight="1" thickBot="1">
      <c r="A31" s="241"/>
      <c r="B31" s="33">
        <f>IF($A31="","",CONCATENATE(VLOOKUP($A31,seznam!$A$2:$B$50,2)," (",VLOOKUP($A31,seznam!$A$2:$E$51,4),")"))</f>
      </c>
      <c r="C31" s="34">
        <f>IF(Z35+AA35=0,"",CONCATENATE(Z35,":",AA35))</f>
      </c>
      <c r="D31" s="35">
        <f>IF(Z26+AA26=0,"",CONCATENATE(AA26,":",Z26))</f>
      </c>
      <c r="E31" s="35">
        <f>IF(Z28+AA28=0,"",CONCATENATE(Z28,":",AA28))</f>
      </c>
      <c r="F31" s="43">
        <f>IF(Z31+AA31=0,"",CONCATENATE(AA31,":",Z31))</f>
      </c>
      <c r="G31" s="36" t="s">
        <v>17</v>
      </c>
      <c r="H31" s="37">
        <f>IF(AG26+AF28+AG31+AF35=0,"",AG26+AF28+AG31+AF35)</f>
      </c>
      <c r="I31" s="36"/>
      <c r="K31" s="4" t="str">
        <f t="shared" si="30"/>
        <v>bye - bye</v>
      </c>
      <c r="L31" s="4">
        <f t="shared" si="31"/>
      </c>
      <c r="N31" s="4" t="str">
        <f t="shared" si="44"/>
        <v>Dvouhra - Skupina C</v>
      </c>
      <c r="O31" s="4">
        <f>A30</f>
        <v>0</v>
      </c>
      <c r="P31" s="4" t="str">
        <f>IF($O31=0,"bye",VLOOKUP($O31,seznam!$A$2:$C$50,2))</f>
        <v>bye</v>
      </c>
      <c r="Q31" s="4">
        <f>IF($O31=0,"",VLOOKUP($O31,seznam!$A$2:$D$50,4))</f>
      </c>
      <c r="R31" s="4">
        <f>A31</f>
        <v>0</v>
      </c>
      <c r="S31" s="4" t="str">
        <f>IF($R31=0,"bye",VLOOKUP($R31,seznam!$A$2:$C$50,2))</f>
        <v>bye</v>
      </c>
      <c r="T31" s="4">
        <f>IF($R31=0,"",VLOOKUP($R31,seznam!$A$2:$D$50,4))</f>
      </c>
      <c r="U31" s="25"/>
      <c r="V31" s="26"/>
      <c r="W31" s="26"/>
      <c r="X31" s="26"/>
      <c r="Y31" s="27"/>
      <c r="Z31" s="4">
        <f t="shared" si="32"/>
        <v>0</v>
      </c>
      <c r="AA31" s="4">
        <f t="shared" si="33"/>
        <v>0</v>
      </c>
      <c r="AB31" s="4">
        <f t="shared" si="34"/>
        <v>0</v>
      </c>
      <c r="AC31" s="4">
        <f>IF($AB31=0,"",VLOOKUP($AB31,seznam!$A$2:$C$50,2))</f>
      </c>
      <c r="AD31" s="4">
        <f t="shared" si="35"/>
      </c>
      <c r="AE31" s="4">
        <f t="shared" si="36"/>
      </c>
      <c r="AF31" s="4">
        <f t="shared" si="37"/>
        <v>0</v>
      </c>
      <c r="AG31" s="4">
        <f t="shared" si="38"/>
        <v>0</v>
      </c>
      <c r="AI31" s="4">
        <f t="shared" si="39"/>
        <v>0</v>
      </c>
      <c r="AJ31" s="4">
        <f t="shared" si="40"/>
        <v>0</v>
      </c>
      <c r="AK31" s="4">
        <f t="shared" si="41"/>
        <v>0</v>
      </c>
      <c r="AL31" s="4">
        <f t="shared" si="42"/>
        <v>0</v>
      </c>
      <c r="AM31" s="4">
        <f t="shared" si="43"/>
        <v>0</v>
      </c>
    </row>
    <row r="32" spans="11:39" ht="15" customHeight="1" thickTop="1">
      <c r="K32" s="4" t="str">
        <f t="shared" si="30"/>
        <v>bye - bye</v>
      </c>
      <c r="L32" s="4">
        <f t="shared" si="31"/>
      </c>
      <c r="N32" s="4" t="str">
        <f t="shared" si="44"/>
        <v>Dvouhra - Skupina C</v>
      </c>
      <c r="O32" s="4">
        <f>A27</f>
        <v>0</v>
      </c>
      <c r="P32" s="4" t="str">
        <f>IF($O32=0,"bye",VLOOKUP($O32,seznam!$A$2:$C$50,2))</f>
        <v>bye</v>
      </c>
      <c r="Q32" s="4">
        <f>IF($O32=0,"",VLOOKUP($O32,seznam!$A$2:$D$50,4))</f>
      </c>
      <c r="R32" s="4">
        <f>A30</f>
        <v>0</v>
      </c>
      <c r="S32" s="4" t="str">
        <f>IF($R32=0,"bye",VLOOKUP($R32,seznam!$A$2:$C$50,2))</f>
        <v>bye</v>
      </c>
      <c r="T32" s="9"/>
      <c r="U32" s="25"/>
      <c r="V32" s="26"/>
      <c r="W32" s="26"/>
      <c r="X32" s="26"/>
      <c r="Y32" s="27"/>
      <c r="Z32" s="4">
        <f t="shared" si="32"/>
        <v>0</v>
      </c>
      <c r="AA32" s="4">
        <f t="shared" si="33"/>
        <v>0</v>
      </c>
      <c r="AB32" s="4">
        <f t="shared" si="34"/>
        <v>0</v>
      </c>
      <c r="AC32" s="4">
        <f>IF($AB32=0,"",VLOOKUP($AB32,seznam!$A$2:$C$50,2))</f>
      </c>
      <c r="AD32" s="4">
        <f t="shared" si="35"/>
      </c>
      <c r="AE32" s="4">
        <f t="shared" si="36"/>
      </c>
      <c r="AF32" s="4">
        <f t="shared" si="37"/>
        <v>0</v>
      </c>
      <c r="AG32" s="4">
        <f t="shared" si="38"/>
        <v>0</v>
      </c>
      <c r="AI32" s="4">
        <f t="shared" si="39"/>
        <v>0</v>
      </c>
      <c r="AJ32" s="4">
        <f t="shared" si="40"/>
        <v>0</v>
      </c>
      <c r="AK32" s="4">
        <f t="shared" si="41"/>
        <v>0</v>
      </c>
      <c r="AL32" s="4">
        <f t="shared" si="42"/>
        <v>0</v>
      </c>
      <c r="AM32" s="4">
        <f t="shared" si="43"/>
        <v>0</v>
      </c>
    </row>
    <row r="33" spans="11:39" ht="15" customHeight="1">
      <c r="K33" s="4" t="str">
        <f t="shared" si="30"/>
        <v>bye - bye</v>
      </c>
      <c r="L33" s="4">
        <f t="shared" si="31"/>
      </c>
      <c r="N33" s="4" t="str">
        <f t="shared" si="44"/>
        <v>Dvouhra - Skupina C</v>
      </c>
      <c r="O33" s="4">
        <f>A28</f>
        <v>0</v>
      </c>
      <c r="P33" s="4" t="str">
        <f>IF($O33=0,"bye",VLOOKUP($O33,seznam!$A$2:$C$50,2))</f>
        <v>bye</v>
      </c>
      <c r="Q33" s="4">
        <f>IF($O33=0,"",VLOOKUP($O33,seznam!$A$2:$D$50,4))</f>
      </c>
      <c r="R33" s="4">
        <f>A29</f>
        <v>0</v>
      </c>
      <c r="S33" s="4" t="str">
        <f>IF($R33=0,"bye",VLOOKUP($R33,seznam!$A$2:$C$50,2))</f>
        <v>bye</v>
      </c>
      <c r="U33" s="25"/>
      <c r="V33" s="26"/>
      <c r="W33" s="26"/>
      <c r="X33" s="26"/>
      <c r="Y33" s="27"/>
      <c r="Z33" s="4">
        <f t="shared" si="32"/>
        <v>0</v>
      </c>
      <c r="AA33" s="4">
        <f t="shared" si="33"/>
        <v>0</v>
      </c>
      <c r="AB33" s="4">
        <f t="shared" si="34"/>
        <v>0</v>
      </c>
      <c r="AC33" s="4">
        <f>IF($AB33=0,"",VLOOKUP($AB33,seznam!$A$2:$C$50,2))</f>
      </c>
      <c r="AD33" s="4">
        <f t="shared" si="35"/>
      </c>
      <c r="AE33" s="4">
        <f t="shared" si="36"/>
      </c>
      <c r="AF33" s="4">
        <f t="shared" si="37"/>
        <v>0</v>
      </c>
      <c r="AG33" s="4">
        <f t="shared" si="38"/>
        <v>0</v>
      </c>
      <c r="AI33" s="4">
        <f t="shared" si="39"/>
        <v>0</v>
      </c>
      <c r="AJ33" s="4">
        <f t="shared" si="40"/>
        <v>0</v>
      </c>
      <c r="AK33" s="4">
        <f t="shared" si="41"/>
        <v>0</v>
      </c>
      <c r="AL33" s="4">
        <f t="shared" si="42"/>
        <v>0</v>
      </c>
      <c r="AM33" s="4">
        <f t="shared" si="43"/>
        <v>0</v>
      </c>
    </row>
    <row r="34" spans="11:39" ht="15" customHeight="1">
      <c r="K34" s="4" t="str">
        <f t="shared" si="30"/>
        <v>bye - bye</v>
      </c>
      <c r="L34" s="4">
        <f t="shared" si="31"/>
      </c>
      <c r="N34" s="4" t="str">
        <f t="shared" si="44"/>
        <v>Dvouhra - Skupina C</v>
      </c>
      <c r="O34" s="4">
        <f>A30</f>
        <v>0</v>
      </c>
      <c r="P34" s="4" t="str">
        <f>IF($O34=0,"bye",VLOOKUP($O34,seznam!$A$2:$C$50,2))</f>
        <v>bye</v>
      </c>
      <c r="Q34" s="4">
        <f>IF($O34=0,"",VLOOKUP($O34,seznam!$A$2:$D$50,4))</f>
      </c>
      <c r="R34" s="4">
        <f>A28</f>
        <v>0</v>
      </c>
      <c r="S34" s="4" t="str">
        <f>IF($R34=0,"bye",VLOOKUP($R34,seznam!$A$2:$C$50,2))</f>
        <v>bye</v>
      </c>
      <c r="U34" s="25"/>
      <c r="V34" s="26"/>
      <c r="W34" s="26"/>
      <c r="X34" s="26"/>
      <c r="Y34" s="27"/>
      <c r="Z34" s="4">
        <f t="shared" si="32"/>
        <v>0</v>
      </c>
      <c r="AA34" s="4">
        <f t="shared" si="33"/>
        <v>0</v>
      </c>
      <c r="AB34" s="4">
        <f t="shared" si="34"/>
        <v>0</v>
      </c>
      <c r="AC34" s="4">
        <f>IF($AB34=0,"",VLOOKUP($AB34,seznam!$A$2:$C$50,2))</f>
      </c>
      <c r="AD34" s="4">
        <f t="shared" si="35"/>
      </c>
      <c r="AE34" s="4">
        <f t="shared" si="36"/>
      </c>
      <c r="AF34" s="4">
        <f t="shared" si="37"/>
        <v>0</v>
      </c>
      <c r="AG34" s="4">
        <f t="shared" si="38"/>
        <v>0</v>
      </c>
      <c r="AI34" s="4">
        <f t="shared" si="39"/>
        <v>0</v>
      </c>
      <c r="AJ34" s="4">
        <f t="shared" si="40"/>
        <v>0</v>
      </c>
      <c r="AK34" s="4">
        <f t="shared" si="41"/>
        <v>0</v>
      </c>
      <c r="AL34" s="4">
        <f t="shared" si="42"/>
        <v>0</v>
      </c>
      <c r="AM34" s="4">
        <f t="shared" si="43"/>
        <v>0</v>
      </c>
    </row>
    <row r="35" spans="11:39" ht="15" customHeight="1" thickBot="1">
      <c r="K35" s="4" t="str">
        <f t="shared" si="30"/>
        <v>bye - bye</v>
      </c>
      <c r="L35" s="4">
        <f t="shared" si="31"/>
      </c>
      <c r="N35" s="4" t="str">
        <f t="shared" si="44"/>
        <v>Dvouhra - Skupina C</v>
      </c>
      <c r="O35" s="4">
        <f>A31</f>
        <v>0</v>
      </c>
      <c r="P35" s="4" t="str">
        <f>IF($O35=0,"bye",VLOOKUP($O35,seznam!$A$2:$C$50,2))</f>
        <v>bye</v>
      </c>
      <c r="Q35" s="4">
        <f>IF($O35=0,"",VLOOKUP($O35,seznam!$A$2:$D$50,4))</f>
      </c>
      <c r="R35" s="4">
        <f>A27</f>
        <v>0</v>
      </c>
      <c r="S35" s="4" t="str">
        <f>IF($R35=0,"bye",VLOOKUP($R35,seznam!$A$2:$C$50,2))</f>
        <v>bye</v>
      </c>
      <c r="U35" s="38"/>
      <c r="V35" s="39"/>
      <c r="W35" s="39"/>
      <c r="X35" s="39"/>
      <c r="Y35" s="40"/>
      <c r="Z35" s="4">
        <f t="shared" si="32"/>
        <v>0</v>
      </c>
      <c r="AA35" s="4">
        <f t="shared" si="33"/>
        <v>0</v>
      </c>
      <c r="AB35" s="4">
        <f t="shared" si="34"/>
        <v>0</v>
      </c>
      <c r="AC35" s="4">
        <f>IF($AB35=0,"",VLOOKUP($AB35,seznam!$A$2:$C$50,2))</f>
      </c>
      <c r="AD35" s="4">
        <f t="shared" si="35"/>
      </c>
      <c r="AE35" s="4">
        <f t="shared" si="36"/>
      </c>
      <c r="AF35" s="4">
        <f t="shared" si="37"/>
        <v>0</v>
      </c>
      <c r="AG35" s="4">
        <f t="shared" si="38"/>
        <v>0</v>
      </c>
      <c r="AI35" s="4">
        <f t="shared" si="39"/>
        <v>0</v>
      </c>
      <c r="AJ35" s="4">
        <f t="shared" si="40"/>
        <v>0</v>
      </c>
      <c r="AK35" s="4">
        <f t="shared" si="41"/>
        <v>0</v>
      </c>
      <c r="AL35" s="4">
        <f t="shared" si="42"/>
        <v>0</v>
      </c>
      <c r="AM35" s="4">
        <f t="shared" si="43"/>
        <v>0</v>
      </c>
    </row>
    <row r="36" spans="1:28" ht="15" customHeight="1" thickBot="1" thickTop="1">
      <c r="A36" s="3"/>
      <c r="B36" s="3"/>
      <c r="C36" s="5"/>
      <c r="D36" s="3"/>
      <c r="E36" s="3"/>
      <c r="F36" s="3"/>
      <c r="G36" s="3"/>
      <c r="H36" s="7"/>
      <c r="L36" s="8"/>
      <c r="N36" s="9" t="str">
        <f>B37</f>
        <v>Skupina D</v>
      </c>
      <c r="O36" s="9" t="s">
        <v>3</v>
      </c>
      <c r="P36" s="9" t="s">
        <v>46</v>
      </c>
      <c r="Q36" s="9" t="s">
        <v>4</v>
      </c>
      <c r="R36" s="9" t="s">
        <v>3</v>
      </c>
      <c r="S36" s="9" t="s">
        <v>47</v>
      </c>
      <c r="T36" s="9" t="s">
        <v>4</v>
      </c>
      <c r="U36" s="10" t="s">
        <v>5</v>
      </c>
      <c r="V36" s="10" t="s">
        <v>6</v>
      </c>
      <c r="W36" s="10" t="s">
        <v>7</v>
      </c>
      <c r="X36" s="10" t="s">
        <v>8</v>
      </c>
      <c r="Y36" s="10" t="s">
        <v>9</v>
      </c>
      <c r="Z36" s="9" t="s">
        <v>10</v>
      </c>
      <c r="AA36" s="9" t="s">
        <v>11</v>
      </c>
      <c r="AB36" s="9" t="s">
        <v>12</v>
      </c>
    </row>
    <row r="37" spans="1:39" ht="15" customHeight="1" thickBot="1" thickTop="1">
      <c r="A37" s="11"/>
      <c r="B37" s="12" t="s">
        <v>20</v>
      </c>
      <c r="C37" s="13">
        <v>1</v>
      </c>
      <c r="D37" s="14">
        <v>2</v>
      </c>
      <c r="E37" s="14">
        <v>3</v>
      </c>
      <c r="F37" s="41">
        <v>4</v>
      </c>
      <c r="G37" s="15">
        <v>5</v>
      </c>
      <c r="H37" s="16" t="s">
        <v>15</v>
      </c>
      <c r="I37" s="15" t="s">
        <v>16</v>
      </c>
      <c r="K37" s="4" t="str">
        <f aca="true" t="shared" si="45" ref="K37:K46">CONCATENATE(P37," - ",S37)</f>
        <v>bye - bye</v>
      </c>
      <c r="L37" s="4">
        <f aca="true" t="shared" si="46" ref="L37:L46">IF(SUM(Z37:AA37)=0,AE37,CONCATENATE(Z37," : ",AA37," (",U37,",",V37,",",W37,IF(Z37+AA37&gt;3,",",""),X37,IF(Z37+AA37&gt;4,",",""),Y37,")"))</f>
      </c>
      <c r="N37" s="4" t="str">
        <f>CONCATENATE("Dvouhra - Skupina D")</f>
        <v>Dvouhra - Skupina D</v>
      </c>
      <c r="O37" s="4">
        <f>A39</f>
        <v>0</v>
      </c>
      <c r="P37" s="4" t="str">
        <f>IF($O37=0,"bye",VLOOKUP($O37,seznam!$A$2:$C$50,2))</f>
        <v>bye</v>
      </c>
      <c r="Q37" s="4">
        <f>IF($O37=0,"",VLOOKUP($O37,seznam!$A$2:$D$50,4))</f>
      </c>
      <c r="R37" s="4">
        <f>A42</f>
        <v>0</v>
      </c>
      <c r="S37" s="4" t="str">
        <f>IF($R37=0,"bye",VLOOKUP($R37,seznam!$A$2:$C$50,2))</f>
        <v>bye</v>
      </c>
      <c r="T37" s="4">
        <f>IF($R37=0,"",VLOOKUP($R37,seznam!$A$2:$D$50,4))</f>
      </c>
      <c r="U37" s="17"/>
      <c r="V37" s="18"/>
      <c r="W37" s="18"/>
      <c r="X37" s="18"/>
      <c r="Y37" s="19"/>
      <c r="Z37" s="4">
        <f aca="true" t="shared" si="47" ref="Z37:Z46">COUNTIF(AI37:AM37,"&gt;0")</f>
        <v>0</v>
      </c>
      <c r="AA37" s="4">
        <f aca="true" t="shared" si="48" ref="AA37:AA46">COUNTIF(AI37:AM37,"&lt;0")</f>
        <v>0</v>
      </c>
      <c r="AB37" s="4">
        <f aca="true" t="shared" si="49" ref="AB37:AB46">IF(Z37=AA37,0,IF(Z37&gt;AA37,O37,R37))</f>
        <v>0</v>
      </c>
      <c r="AC37" s="4">
        <f>IF($AB37=0,"",VLOOKUP($AB37,seznam!$A$2:$C$50,2))</f>
      </c>
      <c r="AD37" s="4">
        <f aca="true" t="shared" si="50" ref="AD37:AD46">IF(Z37=AA37,"",IF(Z37&gt;AA37,CONCATENATE(Z37,":",AA37," (",U37,",",V37,",",W37,IF(SUM(Z37:AA37)&gt;3,",",""),X37,IF(SUM(Z37:AA37)&gt;4,",",""),Y37,")"),CONCATENATE(AA37,":",Z37," (",-U37,",",-V37,",",-W37,IF(SUM(Z37:AA37)&gt;3,CONCATENATE(",",-X37),""),IF(SUM(Z37:AA37)&gt;4,CONCATENATE(",",-Y37),""),")")))</f>
      </c>
      <c r="AE37" s="4">
        <f aca="true" t="shared" si="51" ref="AE37:AE46">IF(SUM(Z37:AA37)=0,"",AD37)</f>
      </c>
      <c r="AF37" s="4">
        <f aca="true" t="shared" si="52" ref="AF37:AF46">IF(U37="",0,IF(Z37&gt;AA37,2,1))</f>
        <v>0</v>
      </c>
      <c r="AG37" s="4">
        <f aca="true" t="shared" si="53" ref="AG37:AG46">IF(U37="",0,IF(AA37&gt;Z37,2,1))</f>
        <v>0</v>
      </c>
      <c r="AI37" s="4">
        <f aca="true" t="shared" si="54" ref="AI37:AI46">IF(U37="",0,IF(MID(U37,1,1)="-",-1,1))</f>
        <v>0</v>
      </c>
      <c r="AJ37" s="4">
        <f aca="true" t="shared" si="55" ref="AJ37:AJ46">IF(V37="",0,IF(MID(V37,1,1)="-",-1,1))</f>
        <v>0</v>
      </c>
      <c r="AK37" s="4">
        <f aca="true" t="shared" si="56" ref="AK37:AK46">IF(W37="",0,IF(MID(W37,1,1)="-",-1,1))</f>
        <v>0</v>
      </c>
      <c r="AL37" s="4">
        <f aca="true" t="shared" si="57" ref="AL37:AL46">IF(X37="",0,IF(MID(X37,1,1)="-",-1,1))</f>
        <v>0</v>
      </c>
      <c r="AM37" s="4">
        <f aca="true" t="shared" si="58" ref="AM37:AM46">IF(Y37="",0,IF(MID(Y37,1,1)="-",-1,1))</f>
        <v>0</v>
      </c>
    </row>
    <row r="38" spans="1:39" ht="15" customHeight="1" thickTop="1">
      <c r="A38" s="239"/>
      <c r="B38" s="20">
        <f>IF($A38="","",CONCATENATE(VLOOKUP($A38,seznam!$A$2:$B$50,2)," (",VLOOKUP($A38,seznam!$A$2:$E$51,4),")"))</f>
      </c>
      <c r="C38" s="21" t="s">
        <v>17</v>
      </c>
      <c r="D38" s="22">
        <f>IF(Z40+AA40=0,"",CONCATENATE(Z40,":",AA40))</f>
      </c>
      <c r="E38" s="22">
        <f>IF(Z41+AA41=0,"",CONCATENATE(AA41,":",Z41))</f>
      </c>
      <c r="F38" s="22">
        <f>IF(Z43+AA43=0,"",CONCATENATE(Z43,":",AA43))</f>
      </c>
      <c r="G38" s="23">
        <f>IF(Z46+AA46=0,"",CONCATENATE(AA46,":",Z46))</f>
      </c>
      <c r="H38" s="24">
        <f>IF(AF40+AG41+AF43+AG46=0,"",AF40+AG41+AF43+AG46)</f>
      </c>
      <c r="I38" s="23"/>
      <c r="K38" s="4" t="str">
        <f t="shared" si="45"/>
        <v>bye - bye</v>
      </c>
      <c r="L38" s="4">
        <f t="shared" si="46"/>
      </c>
      <c r="N38" s="4" t="str">
        <f aca="true" t="shared" si="59" ref="N38:N48">CONCATENATE("Dvouhra - Skupina D")</f>
        <v>Dvouhra - Skupina D</v>
      </c>
      <c r="O38" s="4">
        <f>A40</f>
        <v>0</v>
      </c>
      <c r="P38" s="4" t="str">
        <f>IF($O38=0,"bye",VLOOKUP($O38,seznam!$A$2:$C$50,2))</f>
        <v>bye</v>
      </c>
      <c r="Q38" s="4">
        <f>IF($O38=0,"",VLOOKUP($O38,seznam!$A$2:$D$50,4))</f>
      </c>
      <c r="R38" s="4">
        <f>A41</f>
        <v>0</v>
      </c>
      <c r="S38" s="4" t="str">
        <f>IF($R38=0,"bye",VLOOKUP($R38,seznam!$A$2:$C$50,2))</f>
        <v>bye</v>
      </c>
      <c r="T38" s="4">
        <f>IF($R38=0,"",VLOOKUP($R38,seznam!$A$2:$D$50,4))</f>
      </c>
      <c r="U38" s="25"/>
      <c r="V38" s="26"/>
      <c r="W38" s="26"/>
      <c r="X38" s="26"/>
      <c r="Y38" s="27"/>
      <c r="Z38" s="4">
        <f t="shared" si="47"/>
        <v>0</v>
      </c>
      <c r="AA38" s="4">
        <f t="shared" si="48"/>
        <v>0</v>
      </c>
      <c r="AB38" s="4">
        <f t="shared" si="49"/>
        <v>0</v>
      </c>
      <c r="AC38" s="4">
        <f>IF($AB38=0,"",VLOOKUP($AB38,seznam!$A$2:$C$50,2))</f>
      </c>
      <c r="AD38" s="4">
        <f t="shared" si="50"/>
      </c>
      <c r="AE38" s="4">
        <f t="shared" si="51"/>
      </c>
      <c r="AF38" s="4">
        <f t="shared" si="52"/>
        <v>0</v>
      </c>
      <c r="AG38" s="4">
        <f t="shared" si="53"/>
        <v>0</v>
      </c>
      <c r="AI38" s="4">
        <f t="shared" si="54"/>
        <v>0</v>
      </c>
      <c r="AJ38" s="4">
        <f t="shared" si="55"/>
        <v>0</v>
      </c>
      <c r="AK38" s="4">
        <f t="shared" si="56"/>
        <v>0</v>
      </c>
      <c r="AL38" s="4">
        <f t="shared" si="57"/>
        <v>0</v>
      </c>
      <c r="AM38" s="4">
        <f t="shared" si="58"/>
        <v>0</v>
      </c>
    </row>
    <row r="39" spans="1:39" ht="15" customHeight="1">
      <c r="A39" s="240"/>
      <c r="B39" s="28">
        <f>IF($A39="","",CONCATENATE(VLOOKUP($A39,seznam!$A$2:$B$50,2)," (",VLOOKUP($A39,seznam!$A$2:$E$51,4),")"))</f>
      </c>
      <c r="C39" s="29">
        <f>IF(Z40+AA40=0,"",CONCATENATE(AA40,":",Z40))</f>
      </c>
      <c r="D39" s="30" t="s">
        <v>17</v>
      </c>
      <c r="E39" s="30">
        <f>IF(Z44+AA44=0,"",CONCATENATE(Z44,":",AA44))</f>
      </c>
      <c r="F39" s="22">
        <f>IF(Z45+AA45=0,"",CONCATENATE(AA45,":",Z45))</f>
      </c>
      <c r="G39" s="31">
        <f>IF(Z37+AA37=0,"",CONCATENATE(Z37,":",AA37))</f>
      </c>
      <c r="H39" s="32">
        <f>IF(AF37+AG40+AF44+AG45=0,"",AF37+AG40+AF44+AG45)</f>
      </c>
      <c r="I39" s="31"/>
      <c r="K39" s="4" t="str">
        <f t="shared" si="45"/>
        <v>bye - bye</v>
      </c>
      <c r="L39" s="4">
        <f t="shared" si="46"/>
      </c>
      <c r="N39" s="4" t="str">
        <f t="shared" si="59"/>
        <v>Dvouhra - Skupina D</v>
      </c>
      <c r="O39" s="4">
        <f>A42</f>
        <v>0</v>
      </c>
      <c r="P39" s="4" t="str">
        <f>IF($O39=0,"bye",VLOOKUP($O39,seznam!$A$2:$C$50,2))</f>
        <v>bye</v>
      </c>
      <c r="Q39" s="4">
        <f>IF($O39=0,"",VLOOKUP($O39,seznam!$A$2:$D$50,4))</f>
      </c>
      <c r="R39" s="4">
        <f>A40</f>
        <v>0</v>
      </c>
      <c r="S39" s="4" t="str">
        <f>IF($R39=0,"bye",VLOOKUP($R39,seznam!$A$2:$C$50,2))</f>
        <v>bye</v>
      </c>
      <c r="T39" s="4">
        <f>IF($R39=0,"",VLOOKUP($R39,seznam!$A$2:$D$50,4))</f>
      </c>
      <c r="U39" s="25"/>
      <c r="V39" s="26"/>
      <c r="W39" s="26"/>
      <c r="X39" s="26"/>
      <c r="Y39" s="27"/>
      <c r="Z39" s="4">
        <f t="shared" si="47"/>
        <v>0</v>
      </c>
      <c r="AA39" s="4">
        <f t="shared" si="48"/>
        <v>0</v>
      </c>
      <c r="AB39" s="4">
        <f t="shared" si="49"/>
        <v>0</v>
      </c>
      <c r="AC39" s="4">
        <f>IF($AB39=0,"",VLOOKUP($AB39,seznam!$A$2:$C$50,2))</f>
      </c>
      <c r="AD39" s="4">
        <f t="shared" si="50"/>
      </c>
      <c r="AE39" s="4">
        <f t="shared" si="51"/>
      </c>
      <c r="AF39" s="4">
        <f t="shared" si="52"/>
        <v>0</v>
      </c>
      <c r="AG39" s="4">
        <f t="shared" si="53"/>
        <v>0</v>
      </c>
      <c r="AI39" s="4">
        <f t="shared" si="54"/>
        <v>0</v>
      </c>
      <c r="AJ39" s="4">
        <f t="shared" si="55"/>
        <v>0</v>
      </c>
      <c r="AK39" s="4">
        <f t="shared" si="56"/>
        <v>0</v>
      </c>
      <c r="AL39" s="4">
        <f t="shared" si="57"/>
        <v>0</v>
      </c>
      <c r="AM39" s="4">
        <f t="shared" si="58"/>
        <v>0</v>
      </c>
    </row>
    <row r="40" spans="1:39" ht="15" customHeight="1">
      <c r="A40" s="240"/>
      <c r="B40" s="28">
        <f>IF($A40="","",CONCATENATE(VLOOKUP($A40,seznam!$A$2:$B$50,2)," (",VLOOKUP($A40,seznam!$A$2:$E$51,4),")"))</f>
      </c>
      <c r="C40" s="29">
        <f>IF(Z41+AA41=0,"",CONCATENATE(Z41,":",AA41))</f>
      </c>
      <c r="D40" s="30">
        <f>IF(Z44+AA44=0,"",CONCATENATE(AA44,":",Z44))</f>
      </c>
      <c r="E40" s="30" t="s">
        <v>17</v>
      </c>
      <c r="F40" s="22">
        <f>IF(Z38+AA38=0,"",CONCATENATE(Z38,":",AA38))</f>
      </c>
      <c r="G40" s="31">
        <f>IF(Z39+AA39=0,"",CONCATENATE(AA39,":",Z39))</f>
      </c>
      <c r="H40" s="32">
        <f>IF(AF38+AG39+AF41+AG44=0,"",AF38+AG39+AF41+AG44)</f>
      </c>
      <c r="I40" s="31"/>
      <c r="K40" s="4" t="str">
        <f t="shared" si="45"/>
        <v>bye - bye</v>
      </c>
      <c r="L40" s="4">
        <f t="shared" si="46"/>
      </c>
      <c r="N40" s="4" t="str">
        <f t="shared" si="59"/>
        <v>Dvouhra - Skupina D</v>
      </c>
      <c r="O40" s="4">
        <f>A38</f>
        <v>0</v>
      </c>
      <c r="P40" s="4" t="str">
        <f>IF($O40=0,"bye",VLOOKUP($O40,seznam!$A$2:$C$50,2))</f>
        <v>bye</v>
      </c>
      <c r="Q40" s="4">
        <f>IF($O40=0,"",VLOOKUP($O40,seznam!$A$2:$D$50,4))</f>
      </c>
      <c r="R40" s="4">
        <f>A39</f>
        <v>0</v>
      </c>
      <c r="S40" s="4" t="str">
        <f>IF($R40=0,"bye",VLOOKUP($R40,seznam!$A$2:$C$50,2))</f>
        <v>bye</v>
      </c>
      <c r="T40" s="4">
        <f>IF($R40=0,"",VLOOKUP($R40,seznam!$A$2:$D$50,4))</f>
      </c>
      <c r="U40" s="25"/>
      <c r="V40" s="26"/>
      <c r="W40" s="26"/>
      <c r="X40" s="26"/>
      <c r="Y40" s="27"/>
      <c r="Z40" s="4">
        <f t="shared" si="47"/>
        <v>0</v>
      </c>
      <c r="AA40" s="4">
        <f t="shared" si="48"/>
        <v>0</v>
      </c>
      <c r="AB40" s="4">
        <f t="shared" si="49"/>
        <v>0</v>
      </c>
      <c r="AC40" s="4">
        <f>IF($AB40=0,"",VLOOKUP($AB40,seznam!$A$2:$C$50,2))</f>
      </c>
      <c r="AD40" s="4">
        <f t="shared" si="50"/>
      </c>
      <c r="AE40" s="4">
        <f t="shared" si="51"/>
      </c>
      <c r="AF40" s="4">
        <f t="shared" si="52"/>
        <v>0</v>
      </c>
      <c r="AG40" s="4">
        <f t="shared" si="53"/>
        <v>0</v>
      </c>
      <c r="AI40" s="4">
        <f t="shared" si="54"/>
        <v>0</v>
      </c>
      <c r="AJ40" s="4">
        <f t="shared" si="55"/>
        <v>0</v>
      </c>
      <c r="AK40" s="4">
        <f t="shared" si="56"/>
        <v>0</v>
      </c>
      <c r="AL40" s="4">
        <f t="shared" si="57"/>
        <v>0</v>
      </c>
      <c r="AM40" s="4">
        <f t="shared" si="58"/>
        <v>0</v>
      </c>
    </row>
    <row r="41" spans="1:39" ht="15" customHeight="1">
      <c r="A41" s="242"/>
      <c r="B41" s="28">
        <f>IF($A41="","",CONCATENATE(VLOOKUP($A41,seznam!$A$2:$B$50,2)," (",VLOOKUP($A41,seznam!$A$2:$E$51,4),")"))</f>
      </c>
      <c r="C41" s="29">
        <f>IF(Z43+AA43=0,"",CONCATENATE(AA43,":",Z43))</f>
      </c>
      <c r="D41" s="30">
        <f>IF(Z45+AA45=0,"",CONCATENATE(Z45,":",AA45))</f>
      </c>
      <c r="E41" s="30">
        <f>IF(Z38+AA38=0,"",CONCATENATE(AA38,":",Z38))</f>
      </c>
      <c r="F41" s="30" t="s">
        <v>17</v>
      </c>
      <c r="G41" s="31">
        <f>IF(Z42+AA42=0,"",CONCATENATE(Z42,":",AA42))</f>
      </c>
      <c r="H41" s="32">
        <f>IF(AG38+AF42+AG43+AF45=0,"",AG38+AF42+AG43+AF45)</f>
      </c>
      <c r="I41" s="42"/>
      <c r="K41" s="4" t="str">
        <f t="shared" si="45"/>
        <v>bye - bye</v>
      </c>
      <c r="L41" s="4">
        <f t="shared" si="46"/>
      </c>
      <c r="N41" s="4" t="str">
        <f t="shared" si="59"/>
        <v>Dvouhra - Skupina D</v>
      </c>
      <c r="O41" s="4">
        <f>A40</f>
        <v>0</v>
      </c>
      <c r="P41" s="4" t="str">
        <f>IF($O41=0,"bye",VLOOKUP($O41,seznam!$A$2:$C$50,2))</f>
        <v>bye</v>
      </c>
      <c r="Q41" s="4">
        <f>IF($O41=0,"",VLOOKUP($O41,seznam!$A$2:$D$50,4))</f>
      </c>
      <c r="R41" s="4">
        <f>A38</f>
        <v>0</v>
      </c>
      <c r="S41" s="4" t="str">
        <f>IF($R41=0,"bye",VLOOKUP($R41,seznam!$A$2:$C$50,2))</f>
        <v>bye</v>
      </c>
      <c r="T41" s="4">
        <f>IF($R41=0,"",VLOOKUP($R41,seznam!$A$2:$D$50,4))</f>
      </c>
      <c r="U41" s="25"/>
      <c r="V41" s="26"/>
      <c r="W41" s="26"/>
      <c r="X41" s="26"/>
      <c r="Y41" s="27"/>
      <c r="Z41" s="4">
        <f t="shared" si="47"/>
        <v>0</v>
      </c>
      <c r="AA41" s="4">
        <f t="shared" si="48"/>
        <v>0</v>
      </c>
      <c r="AB41" s="4">
        <f t="shared" si="49"/>
        <v>0</v>
      </c>
      <c r="AC41" s="4">
        <f>IF($AB41=0,"",VLOOKUP($AB41,seznam!$A$2:$C$50,2))</f>
      </c>
      <c r="AD41" s="4">
        <f t="shared" si="50"/>
      </c>
      <c r="AE41" s="4">
        <f t="shared" si="51"/>
      </c>
      <c r="AF41" s="4">
        <f t="shared" si="52"/>
        <v>0</v>
      </c>
      <c r="AG41" s="4">
        <f t="shared" si="53"/>
        <v>0</v>
      </c>
      <c r="AI41" s="4">
        <f t="shared" si="54"/>
        <v>0</v>
      </c>
      <c r="AJ41" s="4">
        <f t="shared" si="55"/>
        <v>0</v>
      </c>
      <c r="AK41" s="4">
        <f t="shared" si="56"/>
        <v>0</v>
      </c>
      <c r="AL41" s="4">
        <f t="shared" si="57"/>
        <v>0</v>
      </c>
      <c r="AM41" s="4">
        <f t="shared" si="58"/>
        <v>0</v>
      </c>
    </row>
    <row r="42" spans="1:39" ht="15" customHeight="1" thickBot="1">
      <c r="A42" s="241"/>
      <c r="B42" s="33">
        <f>IF($A42="","",CONCATENATE(VLOOKUP($A42,seznam!$A$2:$B$50,2)," (",VLOOKUP($A42,seznam!$A$2:$E$51,4),")"))</f>
      </c>
      <c r="C42" s="34">
        <f>IF(Z46+AA46=0,"",CONCATENATE(Z46,":",AA46))</f>
      </c>
      <c r="D42" s="35">
        <f>IF(Z37+AA37=0,"",CONCATENATE(AA37,":",Z37))</f>
      </c>
      <c r="E42" s="35">
        <f>IF(Z39+AA39=0,"",CONCATENATE(Z39,":",AA39))</f>
      </c>
      <c r="F42" s="43">
        <f>IF(Z42+AA42=0,"",CONCATENATE(AA42,":",Z42))</f>
      </c>
      <c r="G42" s="36" t="s">
        <v>17</v>
      </c>
      <c r="H42" s="37">
        <f>IF(AG37+AF39+AG42+AF46=0,"",AG37+AF39+AG42+AF46)</f>
      </c>
      <c r="I42" s="36"/>
      <c r="K42" s="4" t="str">
        <f t="shared" si="45"/>
        <v>bye - bye</v>
      </c>
      <c r="L42" s="4">
        <f t="shared" si="46"/>
      </c>
      <c r="N42" s="4" t="str">
        <f t="shared" si="59"/>
        <v>Dvouhra - Skupina D</v>
      </c>
      <c r="O42" s="4">
        <f>A41</f>
        <v>0</v>
      </c>
      <c r="P42" s="4" t="str">
        <f>IF($O42=0,"bye",VLOOKUP($O42,seznam!$A$2:$C$50,2))</f>
        <v>bye</v>
      </c>
      <c r="Q42" s="4">
        <f>IF($O42=0,"",VLOOKUP($O42,seznam!$A$2:$D$50,4))</f>
      </c>
      <c r="R42" s="4">
        <f>A42</f>
        <v>0</v>
      </c>
      <c r="S42" s="4" t="str">
        <f>IF($R42=0,"bye",VLOOKUP($R42,seznam!$A$2:$C$50,2))</f>
        <v>bye</v>
      </c>
      <c r="T42" s="4">
        <f>IF($R42=0,"",VLOOKUP($R42,seznam!$A$2:$D$50,4))</f>
      </c>
      <c r="U42" s="25"/>
      <c r="V42" s="26"/>
      <c r="W42" s="26"/>
      <c r="X42" s="26"/>
      <c r="Y42" s="27"/>
      <c r="Z42" s="4">
        <f t="shared" si="47"/>
        <v>0</v>
      </c>
      <c r="AA42" s="4">
        <f t="shared" si="48"/>
        <v>0</v>
      </c>
      <c r="AB42" s="4">
        <f t="shared" si="49"/>
        <v>0</v>
      </c>
      <c r="AC42" s="4">
        <f>IF($AB42=0,"",VLOOKUP($AB42,seznam!$A$2:$C$50,2))</f>
      </c>
      <c r="AD42" s="4">
        <f t="shared" si="50"/>
      </c>
      <c r="AE42" s="4">
        <f t="shared" si="51"/>
      </c>
      <c r="AF42" s="4">
        <f t="shared" si="52"/>
        <v>0</v>
      </c>
      <c r="AG42" s="4">
        <f t="shared" si="53"/>
        <v>0</v>
      </c>
      <c r="AI42" s="4">
        <f t="shared" si="54"/>
        <v>0</v>
      </c>
      <c r="AJ42" s="4">
        <f t="shared" si="55"/>
        <v>0</v>
      </c>
      <c r="AK42" s="4">
        <f t="shared" si="56"/>
        <v>0</v>
      </c>
      <c r="AL42" s="4">
        <f t="shared" si="57"/>
        <v>0</v>
      </c>
      <c r="AM42" s="4">
        <f t="shared" si="58"/>
        <v>0</v>
      </c>
    </row>
    <row r="43" spans="11:39" ht="15" customHeight="1" thickTop="1">
      <c r="K43" s="4" t="str">
        <f t="shared" si="45"/>
        <v>bye - bye</v>
      </c>
      <c r="L43" s="4">
        <f t="shared" si="46"/>
      </c>
      <c r="N43" s="4" t="str">
        <f t="shared" si="59"/>
        <v>Dvouhra - Skupina D</v>
      </c>
      <c r="O43" s="4">
        <f>A38</f>
        <v>0</v>
      </c>
      <c r="P43" s="4" t="str">
        <f>IF($O43=0,"bye",VLOOKUP($O43,seznam!$A$2:$C$50,2))</f>
        <v>bye</v>
      </c>
      <c r="Q43" s="4">
        <f>IF($O43=0,"",VLOOKUP($O43,seznam!$A$2:$D$50,4))</f>
      </c>
      <c r="R43" s="4">
        <f>A41</f>
        <v>0</v>
      </c>
      <c r="S43" s="4" t="str">
        <f>IF($R43=0,"bye",VLOOKUP($R43,seznam!$A$2:$C$50,2))</f>
        <v>bye</v>
      </c>
      <c r="T43" s="9"/>
      <c r="U43" s="25"/>
      <c r="V43" s="26"/>
      <c r="W43" s="26"/>
      <c r="X43" s="26"/>
      <c r="Y43" s="27"/>
      <c r="Z43" s="4">
        <f t="shared" si="47"/>
        <v>0</v>
      </c>
      <c r="AA43" s="4">
        <f t="shared" si="48"/>
        <v>0</v>
      </c>
      <c r="AB43" s="4">
        <f t="shared" si="49"/>
        <v>0</v>
      </c>
      <c r="AC43" s="4">
        <f>IF($AB43=0,"",VLOOKUP($AB43,seznam!$A$2:$C$50,2))</f>
      </c>
      <c r="AD43" s="4">
        <f t="shared" si="50"/>
      </c>
      <c r="AE43" s="4">
        <f t="shared" si="51"/>
      </c>
      <c r="AF43" s="4">
        <f t="shared" si="52"/>
        <v>0</v>
      </c>
      <c r="AG43" s="4">
        <f t="shared" si="53"/>
        <v>0</v>
      </c>
      <c r="AI43" s="4">
        <f t="shared" si="54"/>
        <v>0</v>
      </c>
      <c r="AJ43" s="4">
        <f t="shared" si="55"/>
        <v>0</v>
      </c>
      <c r="AK43" s="4">
        <f t="shared" si="56"/>
        <v>0</v>
      </c>
      <c r="AL43" s="4">
        <f t="shared" si="57"/>
        <v>0</v>
      </c>
      <c r="AM43" s="4">
        <f t="shared" si="58"/>
        <v>0</v>
      </c>
    </row>
    <row r="44" spans="11:39" ht="15" customHeight="1">
      <c r="K44" s="4" t="str">
        <f t="shared" si="45"/>
        <v>bye - bye</v>
      </c>
      <c r="L44" s="4">
        <f t="shared" si="46"/>
      </c>
      <c r="N44" s="4" t="str">
        <f t="shared" si="59"/>
        <v>Dvouhra - Skupina D</v>
      </c>
      <c r="O44" s="4">
        <f>A39</f>
        <v>0</v>
      </c>
      <c r="P44" s="4" t="str">
        <f>IF($O44=0,"bye",VLOOKUP($O44,seznam!$A$2:$C$50,2))</f>
        <v>bye</v>
      </c>
      <c r="Q44" s="4">
        <f>IF($O44=0,"",VLOOKUP($O44,seznam!$A$2:$D$50,4))</f>
      </c>
      <c r="R44" s="4">
        <f>A40</f>
        <v>0</v>
      </c>
      <c r="S44" s="4" t="str">
        <f>IF($R44=0,"bye",VLOOKUP($R44,seznam!$A$2:$C$50,2))</f>
        <v>bye</v>
      </c>
      <c r="U44" s="25"/>
      <c r="V44" s="26"/>
      <c r="W44" s="26"/>
      <c r="X44" s="26"/>
      <c r="Y44" s="27"/>
      <c r="Z44" s="4">
        <f t="shared" si="47"/>
        <v>0</v>
      </c>
      <c r="AA44" s="4">
        <f t="shared" si="48"/>
        <v>0</v>
      </c>
      <c r="AB44" s="4">
        <f t="shared" si="49"/>
        <v>0</v>
      </c>
      <c r="AC44" s="4">
        <f>IF($AB44=0,"",VLOOKUP($AB44,seznam!$A$2:$C$50,2))</f>
      </c>
      <c r="AD44" s="4">
        <f t="shared" si="50"/>
      </c>
      <c r="AE44" s="4">
        <f t="shared" si="51"/>
      </c>
      <c r="AF44" s="4">
        <f t="shared" si="52"/>
        <v>0</v>
      </c>
      <c r="AG44" s="4">
        <f t="shared" si="53"/>
        <v>0</v>
      </c>
      <c r="AI44" s="4">
        <f t="shared" si="54"/>
        <v>0</v>
      </c>
      <c r="AJ44" s="4">
        <f t="shared" si="55"/>
        <v>0</v>
      </c>
      <c r="AK44" s="4">
        <f t="shared" si="56"/>
        <v>0</v>
      </c>
      <c r="AL44" s="4">
        <f t="shared" si="57"/>
        <v>0</v>
      </c>
      <c r="AM44" s="4">
        <f t="shared" si="58"/>
        <v>0</v>
      </c>
    </row>
    <row r="45" spans="11:39" ht="15" customHeight="1">
      <c r="K45" s="4" t="str">
        <f t="shared" si="45"/>
        <v>bye - bye</v>
      </c>
      <c r="L45" s="4">
        <f t="shared" si="46"/>
      </c>
      <c r="N45" s="4" t="str">
        <f t="shared" si="59"/>
        <v>Dvouhra - Skupina D</v>
      </c>
      <c r="O45" s="4">
        <f>A41</f>
        <v>0</v>
      </c>
      <c r="P45" s="4" t="str">
        <f>IF($O45=0,"bye",VLOOKUP($O45,seznam!$A$2:$C$50,2))</f>
        <v>bye</v>
      </c>
      <c r="Q45" s="4">
        <f>IF($O45=0,"",VLOOKUP($O45,seznam!$A$2:$D$50,4))</f>
      </c>
      <c r="R45" s="4">
        <f>A39</f>
        <v>0</v>
      </c>
      <c r="S45" s="4" t="str">
        <f>IF($R45=0,"bye",VLOOKUP($R45,seznam!$A$2:$C$50,2))</f>
        <v>bye</v>
      </c>
      <c r="U45" s="25"/>
      <c r="V45" s="26"/>
      <c r="W45" s="26"/>
      <c r="X45" s="26"/>
      <c r="Y45" s="27"/>
      <c r="Z45" s="4">
        <f t="shared" si="47"/>
        <v>0</v>
      </c>
      <c r="AA45" s="4">
        <f t="shared" si="48"/>
        <v>0</v>
      </c>
      <c r="AB45" s="4">
        <f t="shared" si="49"/>
        <v>0</v>
      </c>
      <c r="AC45" s="4">
        <f>IF($AB45=0,"",VLOOKUP($AB45,seznam!$A$2:$C$50,2))</f>
      </c>
      <c r="AD45" s="4">
        <f t="shared" si="50"/>
      </c>
      <c r="AE45" s="4">
        <f t="shared" si="51"/>
      </c>
      <c r="AF45" s="4">
        <f t="shared" si="52"/>
        <v>0</v>
      </c>
      <c r="AG45" s="4">
        <f t="shared" si="53"/>
        <v>0</v>
      </c>
      <c r="AI45" s="4">
        <f t="shared" si="54"/>
        <v>0</v>
      </c>
      <c r="AJ45" s="4">
        <f t="shared" si="55"/>
        <v>0</v>
      </c>
      <c r="AK45" s="4">
        <f t="shared" si="56"/>
        <v>0</v>
      </c>
      <c r="AL45" s="4">
        <f t="shared" si="57"/>
        <v>0</v>
      </c>
      <c r="AM45" s="4">
        <f t="shared" si="58"/>
        <v>0</v>
      </c>
    </row>
    <row r="46" spans="11:39" ht="15" customHeight="1" thickBot="1">
      <c r="K46" s="4" t="str">
        <f t="shared" si="45"/>
        <v>bye - bye</v>
      </c>
      <c r="L46" s="4">
        <f t="shared" si="46"/>
      </c>
      <c r="N46" s="4" t="str">
        <f t="shared" si="59"/>
        <v>Dvouhra - Skupina D</v>
      </c>
      <c r="O46" s="4">
        <f>A42</f>
        <v>0</v>
      </c>
      <c r="P46" s="4" t="str">
        <f>IF($O46=0,"bye",VLOOKUP($O46,seznam!$A$2:$C$50,2))</f>
        <v>bye</v>
      </c>
      <c r="Q46" s="4">
        <f>IF($O46=0,"",VLOOKUP($O46,seznam!$A$2:$D$50,4))</f>
      </c>
      <c r="R46" s="4">
        <f>A38</f>
        <v>0</v>
      </c>
      <c r="S46" s="4" t="str">
        <f>IF($R46=0,"bye",VLOOKUP($R46,seznam!$A$2:$C$50,2))</f>
        <v>bye</v>
      </c>
      <c r="U46" s="38"/>
      <c r="V46" s="39"/>
      <c r="W46" s="39"/>
      <c r="X46" s="39"/>
      <c r="Y46" s="40"/>
      <c r="Z46" s="4">
        <f t="shared" si="47"/>
        <v>0</v>
      </c>
      <c r="AA46" s="4">
        <f t="shared" si="48"/>
        <v>0</v>
      </c>
      <c r="AB46" s="4">
        <f t="shared" si="49"/>
        <v>0</v>
      </c>
      <c r="AC46" s="4">
        <f>IF($AB46=0,"",VLOOKUP($AB46,seznam!$A$2:$C$50,2))</f>
      </c>
      <c r="AD46" s="4">
        <f t="shared" si="50"/>
      </c>
      <c r="AE46" s="4">
        <f t="shared" si="51"/>
      </c>
      <c r="AF46" s="4">
        <f t="shared" si="52"/>
        <v>0</v>
      </c>
      <c r="AG46" s="4">
        <f t="shared" si="53"/>
        <v>0</v>
      </c>
      <c r="AI46" s="4">
        <f t="shared" si="54"/>
        <v>0</v>
      </c>
      <c r="AJ46" s="4">
        <f t="shared" si="55"/>
        <v>0</v>
      </c>
      <c r="AK46" s="4">
        <f t="shared" si="56"/>
        <v>0</v>
      </c>
      <c r="AL46" s="4">
        <f t="shared" si="57"/>
        <v>0</v>
      </c>
      <c r="AM46" s="4">
        <f t="shared" si="58"/>
        <v>0</v>
      </c>
    </row>
    <row r="47" spans="1:25" ht="21" thickTop="1">
      <c r="A47" s="2"/>
      <c r="B47" s="3"/>
      <c r="C47" s="3"/>
      <c r="D47" s="3"/>
      <c r="E47" s="3"/>
      <c r="F47" s="3"/>
      <c r="G47" s="3"/>
      <c r="H47" s="3"/>
      <c r="N47" s="4" t="str">
        <f t="shared" si="59"/>
        <v>Dvouhra - Skupina D</v>
      </c>
      <c r="U47" s="18"/>
      <c r="V47" s="18"/>
      <c r="W47" s="18"/>
      <c r="X47" s="18"/>
      <c r="Y47" s="18"/>
    </row>
    <row r="48" spans="1:25" ht="20.25">
      <c r="A48" s="5"/>
      <c r="B48" s="3"/>
      <c r="C48" s="3"/>
      <c r="D48" s="3"/>
      <c r="E48" s="3"/>
      <c r="F48" s="3"/>
      <c r="G48" s="3"/>
      <c r="H48" s="6"/>
      <c r="L48" s="6"/>
      <c r="N48" s="4" t="str">
        <f t="shared" si="59"/>
        <v>Dvouhra - Skupina D</v>
      </c>
      <c r="U48" s="26"/>
      <c r="V48" s="26"/>
      <c r="W48" s="26"/>
      <c r="X48" s="26"/>
      <c r="Y48" s="26"/>
    </row>
    <row r="49" spans="1:28" ht="15" customHeight="1" thickBot="1">
      <c r="A49" s="3"/>
      <c r="B49" s="3"/>
      <c r="C49" s="5"/>
      <c r="D49" s="3"/>
      <c r="E49" s="3"/>
      <c r="F49" s="3"/>
      <c r="G49" s="3"/>
      <c r="H49" s="7"/>
      <c r="L49" s="8"/>
      <c r="N49" s="9" t="str">
        <f>B50</f>
        <v>Skupina E</v>
      </c>
      <c r="O49" s="9" t="s">
        <v>3</v>
      </c>
      <c r="P49" s="9" t="s">
        <v>46</v>
      </c>
      <c r="Q49" s="9" t="s">
        <v>4</v>
      </c>
      <c r="R49" s="9" t="s">
        <v>3</v>
      </c>
      <c r="S49" s="9" t="s">
        <v>47</v>
      </c>
      <c r="T49" s="9" t="s">
        <v>4</v>
      </c>
      <c r="U49" s="10" t="s">
        <v>5</v>
      </c>
      <c r="V49" s="10" t="s">
        <v>6</v>
      </c>
      <c r="W49" s="10" t="s">
        <v>7</v>
      </c>
      <c r="X49" s="10" t="s">
        <v>8</v>
      </c>
      <c r="Y49" s="10" t="s">
        <v>9</v>
      </c>
      <c r="Z49" s="9" t="s">
        <v>10</v>
      </c>
      <c r="AA49" s="9" t="s">
        <v>11</v>
      </c>
      <c r="AB49" s="9" t="s">
        <v>12</v>
      </c>
    </row>
    <row r="50" spans="1:39" ht="15" customHeight="1" thickBot="1" thickTop="1">
      <c r="A50" s="11"/>
      <c r="B50" s="12" t="s">
        <v>21</v>
      </c>
      <c r="C50" s="13">
        <v>1</v>
      </c>
      <c r="D50" s="14">
        <v>2</v>
      </c>
      <c r="E50" s="14">
        <v>3</v>
      </c>
      <c r="F50" s="41">
        <v>4</v>
      </c>
      <c r="G50" s="15">
        <v>5</v>
      </c>
      <c r="H50" s="16" t="s">
        <v>15</v>
      </c>
      <c r="I50" s="15" t="s">
        <v>16</v>
      </c>
      <c r="K50" s="4" t="str">
        <f aca="true" t="shared" si="60" ref="K50:K59">CONCATENATE(P50," - ",S50)</f>
        <v>bye - bye</v>
      </c>
      <c r="L50" s="4">
        <f aca="true" t="shared" si="61" ref="L50:L59">IF(SUM(Z50:AA50)=0,AE50,CONCATENATE(Z50," : ",AA50," (",U50,",",V50,",",W50,IF(Z50+AA50&gt;3,",",""),X50,IF(Z50+AA50&gt;4,",",""),Y50,")"))</f>
      </c>
      <c r="N50" s="4" t="str">
        <f>CONCATENATE("Dvouhra - Skupina E")</f>
        <v>Dvouhra - Skupina E</v>
      </c>
      <c r="O50" s="4">
        <f>A52</f>
        <v>0</v>
      </c>
      <c r="P50" s="4" t="str">
        <f>IF($O50=0,"bye",VLOOKUP($O50,seznam!$A$2:$C$50,2))</f>
        <v>bye</v>
      </c>
      <c r="Q50" s="4">
        <f>IF($O50=0,"",VLOOKUP($O50,seznam!$A$2:$D$50,4))</f>
      </c>
      <c r="R50" s="4">
        <f>A55</f>
        <v>0</v>
      </c>
      <c r="S50" s="4" t="str">
        <f>IF($R50=0,"bye",VLOOKUP($R50,seznam!$A$2:$C$50,2))</f>
        <v>bye</v>
      </c>
      <c r="T50" s="4">
        <f>IF($R50=0,"",VLOOKUP($R50,seznam!$A$2:$D$50,4))</f>
      </c>
      <c r="U50" s="17"/>
      <c r="V50" s="18"/>
      <c r="W50" s="18"/>
      <c r="X50" s="18"/>
      <c r="Y50" s="19"/>
      <c r="Z50" s="4">
        <f aca="true" t="shared" si="62" ref="Z50:Z59">COUNTIF(AI50:AM50,"&gt;0")</f>
        <v>0</v>
      </c>
      <c r="AA50" s="4">
        <f aca="true" t="shared" si="63" ref="AA50:AA59">COUNTIF(AI50:AM50,"&lt;0")</f>
        <v>0</v>
      </c>
      <c r="AB50" s="4">
        <f aca="true" t="shared" si="64" ref="AB50:AB59">IF(Z50=AA50,0,IF(Z50&gt;AA50,O50,R50))</f>
        <v>0</v>
      </c>
      <c r="AC50" s="4">
        <f>IF($AB50=0,"",VLOOKUP($AB50,seznam!$A$2:$C$50,2))</f>
      </c>
      <c r="AD50" s="4">
        <f aca="true" t="shared" si="65" ref="AD50:AD59">IF(Z50=AA50,"",IF(Z50&gt;AA50,CONCATENATE(Z50,":",AA50," (",U50,",",V50,",",W50,IF(SUM(Z50:AA50)&gt;3,",",""),X50,IF(SUM(Z50:AA50)&gt;4,",",""),Y50,")"),CONCATENATE(AA50,":",Z50," (",-U50,",",-V50,",",-W50,IF(SUM(Z50:AA50)&gt;3,CONCATENATE(",",-X50),""),IF(SUM(Z50:AA50)&gt;4,CONCATENATE(",",-Y50),""),")")))</f>
      </c>
      <c r="AE50" s="4">
        <f aca="true" t="shared" si="66" ref="AE50:AE59">IF(SUM(Z50:AA50)=0,"",AD50)</f>
      </c>
      <c r="AF50" s="4">
        <f aca="true" t="shared" si="67" ref="AF50:AF59">IF(U50="",0,IF(Z50&gt;AA50,2,1))</f>
        <v>0</v>
      </c>
      <c r="AG50" s="4">
        <f aca="true" t="shared" si="68" ref="AG50:AG59">IF(U50="",0,IF(AA50&gt;Z50,2,1))</f>
        <v>0</v>
      </c>
      <c r="AI50" s="4">
        <f aca="true" t="shared" si="69" ref="AI50:AI59">IF(U50="",0,IF(MID(U50,1,1)="-",-1,1))</f>
        <v>0</v>
      </c>
      <c r="AJ50" s="4">
        <f aca="true" t="shared" si="70" ref="AJ50:AJ59">IF(V50="",0,IF(MID(V50,1,1)="-",-1,1))</f>
        <v>0</v>
      </c>
      <c r="AK50" s="4">
        <f aca="true" t="shared" si="71" ref="AK50:AK59">IF(W50="",0,IF(MID(W50,1,1)="-",-1,1))</f>
        <v>0</v>
      </c>
      <c r="AL50" s="4">
        <f aca="true" t="shared" si="72" ref="AL50:AL59">IF(X50="",0,IF(MID(X50,1,1)="-",-1,1))</f>
        <v>0</v>
      </c>
      <c r="AM50" s="4">
        <f aca="true" t="shared" si="73" ref="AM50:AM59">IF(Y50="",0,IF(MID(Y50,1,1)="-",-1,1))</f>
        <v>0</v>
      </c>
    </row>
    <row r="51" spans="1:39" ht="15" customHeight="1" thickTop="1">
      <c r="A51" s="239"/>
      <c r="B51" s="20">
        <f>IF($A51="","",CONCATENATE(VLOOKUP($A51,seznam!$A$2:$B$50,2)," (",VLOOKUP($A51,seznam!$A$2:$E$51,4),")"))</f>
      </c>
      <c r="C51" s="21" t="s">
        <v>17</v>
      </c>
      <c r="D51" s="22">
        <f>IF(Z53+AA53=0,"",CONCATENATE(Z53,":",AA53))</f>
      </c>
      <c r="E51" s="22">
        <f>IF(Z54+AA54=0,"",CONCATENATE(AA54,":",Z54))</f>
      </c>
      <c r="F51" s="22">
        <f>IF(Z56+AA56=0,"",CONCATENATE(Z56,":",AA56))</f>
      </c>
      <c r="G51" s="23">
        <f>IF(Z59+AA59=0,"",CONCATENATE(AA59,":",Z59))</f>
      </c>
      <c r="H51" s="24">
        <f>IF(AF53+AG54+AF56+AG59=0,"",AF53+AG54+AF56+AG59)</f>
      </c>
      <c r="I51" s="23"/>
      <c r="K51" s="4" t="str">
        <f t="shared" si="60"/>
        <v>bye - bye</v>
      </c>
      <c r="L51" s="4">
        <f t="shared" si="61"/>
      </c>
      <c r="N51" s="4" t="str">
        <f aca="true" t="shared" si="74" ref="N51:N59">CONCATENATE("Dvouhra - Skupina E")</f>
        <v>Dvouhra - Skupina E</v>
      </c>
      <c r="O51" s="4">
        <f>A53</f>
        <v>0</v>
      </c>
      <c r="P51" s="4" t="str">
        <f>IF($O51=0,"bye",VLOOKUP($O51,seznam!$A$2:$C$50,2))</f>
        <v>bye</v>
      </c>
      <c r="Q51" s="4">
        <f>IF($O51=0,"",VLOOKUP($O51,seznam!$A$2:$D$50,4))</f>
      </c>
      <c r="R51" s="4">
        <f>A54</f>
        <v>0</v>
      </c>
      <c r="S51" s="4" t="str">
        <f>IF($R51=0,"bye",VLOOKUP($R51,seznam!$A$2:$C$50,2))</f>
        <v>bye</v>
      </c>
      <c r="T51" s="4">
        <f>IF($R51=0,"",VLOOKUP($R51,seznam!$A$2:$D$50,4))</f>
      </c>
      <c r="U51" s="25"/>
      <c r="V51" s="26"/>
      <c r="W51" s="26"/>
      <c r="X51" s="26"/>
      <c r="Y51" s="27"/>
      <c r="Z51" s="4">
        <f t="shared" si="62"/>
        <v>0</v>
      </c>
      <c r="AA51" s="4">
        <f t="shared" si="63"/>
        <v>0</v>
      </c>
      <c r="AB51" s="4">
        <f t="shared" si="64"/>
        <v>0</v>
      </c>
      <c r="AC51" s="4">
        <f>IF($AB51=0,"",VLOOKUP($AB51,seznam!$A$2:$C$50,2))</f>
      </c>
      <c r="AD51" s="4">
        <f t="shared" si="65"/>
      </c>
      <c r="AE51" s="4">
        <f t="shared" si="66"/>
      </c>
      <c r="AF51" s="4">
        <f t="shared" si="67"/>
        <v>0</v>
      </c>
      <c r="AG51" s="4">
        <f t="shared" si="68"/>
        <v>0</v>
      </c>
      <c r="AI51" s="4">
        <f t="shared" si="69"/>
        <v>0</v>
      </c>
      <c r="AJ51" s="4">
        <f t="shared" si="70"/>
        <v>0</v>
      </c>
      <c r="AK51" s="4">
        <f t="shared" si="71"/>
        <v>0</v>
      </c>
      <c r="AL51" s="4">
        <f t="shared" si="72"/>
        <v>0</v>
      </c>
      <c r="AM51" s="4">
        <f t="shared" si="73"/>
        <v>0</v>
      </c>
    </row>
    <row r="52" spans="1:39" ht="15" customHeight="1">
      <c r="A52" s="240"/>
      <c r="B52" s="28">
        <f>IF($A52="","",CONCATENATE(VLOOKUP($A52,seznam!$A$2:$B$50,2)," (",VLOOKUP($A52,seznam!$A$2:$E$51,4),")"))</f>
      </c>
      <c r="C52" s="29">
        <f>IF(Z53+AA53=0,"",CONCATENATE(AA53,":",Z53))</f>
      </c>
      <c r="D52" s="30" t="s">
        <v>17</v>
      </c>
      <c r="E52" s="30">
        <f>IF(Z57+AA57=0,"",CONCATENATE(Z57,":",AA57))</f>
      </c>
      <c r="F52" s="22">
        <f>IF(Z58+AA58=0,"",CONCATENATE(AA58,":",Z58))</f>
      </c>
      <c r="G52" s="31">
        <f>IF(Z50+AA50=0,"",CONCATENATE(Z50,":",AA50))</f>
      </c>
      <c r="H52" s="32">
        <f>IF(AF50+AG53+AF57+AG58=0,"",AF50+AG53+AF57+AG58)</f>
      </c>
      <c r="I52" s="31"/>
      <c r="K52" s="4" t="str">
        <f t="shared" si="60"/>
        <v>bye - bye</v>
      </c>
      <c r="L52" s="4">
        <f t="shared" si="61"/>
      </c>
      <c r="N52" s="4" t="str">
        <f t="shared" si="74"/>
        <v>Dvouhra - Skupina E</v>
      </c>
      <c r="O52" s="4">
        <f>A55</f>
        <v>0</v>
      </c>
      <c r="P52" s="4" t="str">
        <f>IF($O52=0,"bye",VLOOKUP($O52,seznam!$A$2:$C$50,2))</f>
        <v>bye</v>
      </c>
      <c r="Q52" s="4">
        <f>IF($O52=0,"",VLOOKUP($O52,seznam!$A$2:$D$50,4))</f>
      </c>
      <c r="R52" s="4">
        <f>A53</f>
        <v>0</v>
      </c>
      <c r="S52" s="4" t="str">
        <f>IF($R52=0,"bye",VLOOKUP($R52,seznam!$A$2:$C$50,2))</f>
        <v>bye</v>
      </c>
      <c r="T52" s="4">
        <f>IF($R52=0,"",VLOOKUP($R52,seznam!$A$2:$D$50,4))</f>
      </c>
      <c r="U52" s="25"/>
      <c r="V52" s="26"/>
      <c r="W52" s="26"/>
      <c r="X52" s="26"/>
      <c r="Y52" s="27"/>
      <c r="Z52" s="4">
        <f t="shared" si="62"/>
        <v>0</v>
      </c>
      <c r="AA52" s="4">
        <f t="shared" si="63"/>
        <v>0</v>
      </c>
      <c r="AB52" s="4">
        <f t="shared" si="64"/>
        <v>0</v>
      </c>
      <c r="AC52" s="4">
        <f>IF($AB52=0,"",VLOOKUP($AB52,seznam!$A$2:$C$50,2))</f>
      </c>
      <c r="AD52" s="4">
        <f t="shared" si="65"/>
      </c>
      <c r="AE52" s="4">
        <f t="shared" si="66"/>
      </c>
      <c r="AF52" s="4">
        <f t="shared" si="67"/>
        <v>0</v>
      </c>
      <c r="AG52" s="4">
        <f t="shared" si="68"/>
        <v>0</v>
      </c>
      <c r="AI52" s="4">
        <f t="shared" si="69"/>
        <v>0</v>
      </c>
      <c r="AJ52" s="4">
        <f t="shared" si="70"/>
        <v>0</v>
      </c>
      <c r="AK52" s="4">
        <f t="shared" si="71"/>
        <v>0</v>
      </c>
      <c r="AL52" s="4">
        <f t="shared" si="72"/>
        <v>0</v>
      </c>
      <c r="AM52" s="4">
        <f t="shared" si="73"/>
        <v>0</v>
      </c>
    </row>
    <row r="53" spans="1:39" ht="15" customHeight="1">
      <c r="A53" s="240"/>
      <c r="B53" s="28">
        <f>IF($A53="","",CONCATENATE(VLOOKUP($A53,seznam!$A$2:$B$50,2)," (",VLOOKUP($A53,seznam!$A$2:$E$51,4),")"))</f>
      </c>
      <c r="C53" s="29">
        <f>IF(Z54+AA54=0,"",CONCATENATE(Z54,":",AA54))</f>
      </c>
      <c r="D53" s="30">
        <f>IF(Z57+AA57=0,"",CONCATENATE(AA57,":",Z57))</f>
      </c>
      <c r="E53" s="30" t="s">
        <v>17</v>
      </c>
      <c r="F53" s="22">
        <f>IF(Z51+AA51=0,"",CONCATENATE(Z51,":",AA51))</f>
      </c>
      <c r="G53" s="31">
        <f>IF(Z52+AA52=0,"",CONCATENATE(AA52,":",Z52))</f>
      </c>
      <c r="H53" s="32">
        <f>IF(AF51+AG52+AF54+AG57=0,"",AF51+AG52+AF54+AG57)</f>
      </c>
      <c r="I53" s="31"/>
      <c r="K53" s="4" t="str">
        <f t="shared" si="60"/>
        <v>bye - bye</v>
      </c>
      <c r="L53" s="4">
        <f t="shared" si="61"/>
      </c>
      <c r="N53" s="4" t="str">
        <f t="shared" si="74"/>
        <v>Dvouhra - Skupina E</v>
      </c>
      <c r="O53" s="4">
        <f>A51</f>
        <v>0</v>
      </c>
      <c r="P53" s="4" t="str">
        <f>IF($O53=0,"bye",VLOOKUP($O53,seznam!$A$2:$C$50,2))</f>
        <v>bye</v>
      </c>
      <c r="Q53" s="4">
        <f>IF($O53=0,"",VLOOKUP($O53,seznam!$A$2:$D$50,4))</f>
      </c>
      <c r="R53" s="4">
        <f>A52</f>
        <v>0</v>
      </c>
      <c r="S53" s="4" t="str">
        <f>IF($R53=0,"bye",VLOOKUP($R53,seznam!$A$2:$C$50,2))</f>
        <v>bye</v>
      </c>
      <c r="T53" s="4">
        <f>IF($R53=0,"",VLOOKUP($R53,seznam!$A$2:$D$50,4))</f>
      </c>
      <c r="U53" s="25"/>
      <c r="V53" s="26"/>
      <c r="W53" s="26"/>
      <c r="X53" s="26"/>
      <c r="Y53" s="27"/>
      <c r="Z53" s="4">
        <f t="shared" si="62"/>
        <v>0</v>
      </c>
      <c r="AA53" s="4">
        <f t="shared" si="63"/>
        <v>0</v>
      </c>
      <c r="AB53" s="4">
        <f t="shared" si="64"/>
        <v>0</v>
      </c>
      <c r="AC53" s="4">
        <f>IF($AB53=0,"",VLOOKUP($AB53,seznam!$A$2:$C$50,2))</f>
      </c>
      <c r="AD53" s="4">
        <f t="shared" si="65"/>
      </c>
      <c r="AE53" s="4">
        <f t="shared" si="66"/>
      </c>
      <c r="AF53" s="4">
        <f t="shared" si="67"/>
        <v>0</v>
      </c>
      <c r="AG53" s="4">
        <f t="shared" si="68"/>
        <v>0</v>
      </c>
      <c r="AI53" s="4">
        <f t="shared" si="69"/>
        <v>0</v>
      </c>
      <c r="AJ53" s="4">
        <f t="shared" si="70"/>
        <v>0</v>
      </c>
      <c r="AK53" s="4">
        <f t="shared" si="71"/>
        <v>0</v>
      </c>
      <c r="AL53" s="4">
        <f t="shared" si="72"/>
        <v>0</v>
      </c>
      <c r="AM53" s="4">
        <f t="shared" si="73"/>
        <v>0</v>
      </c>
    </row>
    <row r="54" spans="1:39" ht="15" customHeight="1">
      <c r="A54" s="242"/>
      <c r="B54" s="28">
        <f>IF($A54="","",CONCATENATE(VLOOKUP($A54,seznam!$A$2:$B$50,2)," (",VLOOKUP($A54,seznam!$A$2:$E$51,4),")"))</f>
      </c>
      <c r="C54" s="29">
        <f>IF(Z56+AA56=0,"",CONCATENATE(AA56,":",Z56))</f>
      </c>
      <c r="D54" s="30">
        <f>IF(Z58+AA58=0,"",CONCATENATE(Z58,":",AA58))</f>
      </c>
      <c r="E54" s="30">
        <f>IF(Z51+AA51=0,"",CONCATENATE(AA51,":",Z51))</f>
      </c>
      <c r="F54" s="30" t="s">
        <v>17</v>
      </c>
      <c r="G54" s="31">
        <f>IF(Z55+AA55=0,"",CONCATENATE(Z55,":",AA55))</f>
      </c>
      <c r="H54" s="32">
        <f>IF(AG51+AF55+AG56+AF58=0,"",AG51+AF55+AG56+AF58)</f>
      </c>
      <c r="I54" s="42"/>
      <c r="K54" s="4" t="str">
        <f t="shared" si="60"/>
        <v>bye - bye</v>
      </c>
      <c r="L54" s="4">
        <f t="shared" si="61"/>
      </c>
      <c r="N54" s="4" t="str">
        <f t="shared" si="74"/>
        <v>Dvouhra - Skupina E</v>
      </c>
      <c r="O54" s="4">
        <f>A53</f>
        <v>0</v>
      </c>
      <c r="P54" s="4" t="str">
        <f>IF($O54=0,"bye",VLOOKUP($O54,seznam!$A$2:$C$50,2))</f>
        <v>bye</v>
      </c>
      <c r="Q54" s="4">
        <f>IF($O54=0,"",VLOOKUP($O54,seznam!$A$2:$D$50,4))</f>
      </c>
      <c r="R54" s="4">
        <f>A51</f>
        <v>0</v>
      </c>
      <c r="S54" s="4" t="str">
        <f>IF($R54=0,"bye",VLOOKUP($R54,seznam!$A$2:$C$50,2))</f>
        <v>bye</v>
      </c>
      <c r="T54" s="4">
        <f>IF($R54=0,"",VLOOKUP($R54,seznam!$A$2:$D$50,4))</f>
      </c>
      <c r="U54" s="25"/>
      <c r="V54" s="26"/>
      <c r="W54" s="26"/>
      <c r="X54" s="26"/>
      <c r="Y54" s="27"/>
      <c r="Z54" s="4">
        <f t="shared" si="62"/>
        <v>0</v>
      </c>
      <c r="AA54" s="4">
        <f t="shared" si="63"/>
        <v>0</v>
      </c>
      <c r="AB54" s="4">
        <f t="shared" si="64"/>
        <v>0</v>
      </c>
      <c r="AC54" s="4">
        <f>IF($AB54=0,"",VLOOKUP($AB54,seznam!$A$2:$C$50,2))</f>
      </c>
      <c r="AD54" s="4">
        <f t="shared" si="65"/>
      </c>
      <c r="AE54" s="4">
        <f t="shared" si="66"/>
      </c>
      <c r="AF54" s="4">
        <f t="shared" si="67"/>
        <v>0</v>
      </c>
      <c r="AG54" s="4">
        <f t="shared" si="68"/>
        <v>0</v>
      </c>
      <c r="AI54" s="4">
        <f t="shared" si="69"/>
        <v>0</v>
      </c>
      <c r="AJ54" s="4">
        <f t="shared" si="70"/>
        <v>0</v>
      </c>
      <c r="AK54" s="4">
        <f t="shared" si="71"/>
        <v>0</v>
      </c>
      <c r="AL54" s="4">
        <f t="shared" si="72"/>
        <v>0</v>
      </c>
      <c r="AM54" s="4">
        <f t="shared" si="73"/>
        <v>0</v>
      </c>
    </row>
    <row r="55" spans="1:39" ht="15" customHeight="1" thickBot="1">
      <c r="A55" s="241"/>
      <c r="B55" s="33">
        <f>IF($A55="","",CONCATENATE(VLOOKUP($A55,seznam!$A$2:$B$50,2)," (",VLOOKUP($A55,seznam!$A$2:$E$51,4),")"))</f>
      </c>
      <c r="C55" s="34">
        <f>IF(Z59+AA59=0,"",CONCATENATE(Z59,":",AA59))</f>
      </c>
      <c r="D55" s="35">
        <f>IF(Z50+AA50=0,"",CONCATENATE(AA50,":",Z50))</f>
      </c>
      <c r="E55" s="35">
        <f>IF(Z52+AA52=0,"",CONCATENATE(Z52,":",AA52))</f>
      </c>
      <c r="F55" s="43">
        <f>IF(Z55+AA55=0,"",CONCATENATE(AA55,":",Z55))</f>
      </c>
      <c r="G55" s="36" t="s">
        <v>17</v>
      </c>
      <c r="H55" s="37">
        <f>IF(AG50+AF52+AG55+AF59=0,"",AG50+AF52+AG55+AF59)</f>
      </c>
      <c r="I55" s="36"/>
      <c r="K55" s="4" t="str">
        <f t="shared" si="60"/>
        <v>bye - bye</v>
      </c>
      <c r="L55" s="4">
        <f t="shared" si="61"/>
      </c>
      <c r="N55" s="4" t="str">
        <f t="shared" si="74"/>
        <v>Dvouhra - Skupina E</v>
      </c>
      <c r="O55" s="4">
        <f>A54</f>
        <v>0</v>
      </c>
      <c r="P55" s="4" t="str">
        <f>IF($O55=0,"bye",VLOOKUP($O55,seznam!$A$2:$C$50,2))</f>
        <v>bye</v>
      </c>
      <c r="Q55" s="4">
        <f>IF($O55=0,"",VLOOKUP($O55,seznam!$A$2:$D$50,4))</f>
      </c>
      <c r="R55" s="4">
        <f>A55</f>
        <v>0</v>
      </c>
      <c r="S55" s="4" t="str">
        <f>IF($R55=0,"bye",VLOOKUP($R55,seznam!$A$2:$C$50,2))</f>
        <v>bye</v>
      </c>
      <c r="T55" s="4">
        <f>IF($R55=0,"",VLOOKUP($R55,seznam!$A$2:$D$50,4))</f>
      </c>
      <c r="U55" s="25"/>
      <c r="V55" s="26"/>
      <c r="W55" s="26"/>
      <c r="X55" s="26"/>
      <c r="Y55" s="27"/>
      <c r="Z55" s="4">
        <f t="shared" si="62"/>
        <v>0</v>
      </c>
      <c r="AA55" s="4">
        <f t="shared" si="63"/>
        <v>0</v>
      </c>
      <c r="AB55" s="4">
        <f t="shared" si="64"/>
        <v>0</v>
      </c>
      <c r="AC55" s="4">
        <f>IF($AB55=0,"",VLOOKUP($AB55,seznam!$A$2:$C$50,2))</f>
      </c>
      <c r="AD55" s="4">
        <f t="shared" si="65"/>
      </c>
      <c r="AE55" s="4">
        <f t="shared" si="66"/>
      </c>
      <c r="AF55" s="4">
        <f t="shared" si="67"/>
        <v>0</v>
      </c>
      <c r="AG55" s="4">
        <f t="shared" si="68"/>
        <v>0</v>
      </c>
      <c r="AI55" s="4">
        <f t="shared" si="69"/>
        <v>0</v>
      </c>
      <c r="AJ55" s="4">
        <f t="shared" si="70"/>
        <v>0</v>
      </c>
      <c r="AK55" s="4">
        <f t="shared" si="71"/>
        <v>0</v>
      </c>
      <c r="AL55" s="4">
        <f t="shared" si="72"/>
        <v>0</v>
      </c>
      <c r="AM55" s="4">
        <f t="shared" si="73"/>
        <v>0</v>
      </c>
    </row>
    <row r="56" spans="11:39" ht="15" customHeight="1" thickTop="1">
      <c r="K56" s="4" t="str">
        <f t="shared" si="60"/>
        <v>bye - bye</v>
      </c>
      <c r="L56" s="4">
        <f t="shared" si="61"/>
      </c>
      <c r="N56" s="4" t="str">
        <f t="shared" si="74"/>
        <v>Dvouhra - Skupina E</v>
      </c>
      <c r="O56" s="4">
        <f>A51</f>
        <v>0</v>
      </c>
      <c r="P56" s="4" t="str">
        <f>IF($O56=0,"bye",VLOOKUP($O56,seznam!$A$2:$C$50,2))</f>
        <v>bye</v>
      </c>
      <c r="Q56" s="4">
        <f>IF($O56=0,"",VLOOKUP($O56,seznam!$A$2:$D$50,4))</f>
      </c>
      <c r="R56" s="4">
        <f>A54</f>
        <v>0</v>
      </c>
      <c r="S56" s="4" t="str">
        <f>IF($R56=0,"bye",VLOOKUP($R56,seznam!$A$2:$C$50,2))</f>
        <v>bye</v>
      </c>
      <c r="T56" s="9"/>
      <c r="U56" s="25"/>
      <c r="V56" s="26"/>
      <c r="W56" s="26"/>
      <c r="X56" s="26"/>
      <c r="Y56" s="27"/>
      <c r="Z56" s="4">
        <f t="shared" si="62"/>
        <v>0</v>
      </c>
      <c r="AA56" s="4">
        <f t="shared" si="63"/>
        <v>0</v>
      </c>
      <c r="AB56" s="4">
        <f t="shared" si="64"/>
        <v>0</v>
      </c>
      <c r="AC56" s="4">
        <f>IF($AB56=0,"",VLOOKUP($AB56,seznam!$A$2:$C$50,2))</f>
      </c>
      <c r="AD56" s="4">
        <f t="shared" si="65"/>
      </c>
      <c r="AE56" s="4">
        <f t="shared" si="66"/>
      </c>
      <c r="AF56" s="4">
        <f t="shared" si="67"/>
        <v>0</v>
      </c>
      <c r="AG56" s="4">
        <f t="shared" si="68"/>
        <v>0</v>
      </c>
      <c r="AI56" s="4">
        <f t="shared" si="69"/>
        <v>0</v>
      </c>
      <c r="AJ56" s="4">
        <f t="shared" si="70"/>
        <v>0</v>
      </c>
      <c r="AK56" s="4">
        <f t="shared" si="71"/>
        <v>0</v>
      </c>
      <c r="AL56" s="4">
        <f t="shared" si="72"/>
        <v>0</v>
      </c>
      <c r="AM56" s="4">
        <f t="shared" si="73"/>
        <v>0</v>
      </c>
    </row>
    <row r="57" spans="11:39" ht="15" customHeight="1">
      <c r="K57" s="4" t="str">
        <f t="shared" si="60"/>
        <v>bye - bye</v>
      </c>
      <c r="L57" s="4">
        <f t="shared" si="61"/>
      </c>
      <c r="N57" s="4" t="str">
        <f t="shared" si="74"/>
        <v>Dvouhra - Skupina E</v>
      </c>
      <c r="O57" s="4">
        <f>A52</f>
        <v>0</v>
      </c>
      <c r="P57" s="4" t="str">
        <f>IF($O57=0,"bye",VLOOKUP($O57,seznam!$A$2:$C$50,2))</f>
        <v>bye</v>
      </c>
      <c r="Q57" s="4">
        <f>IF($O57=0,"",VLOOKUP($O57,seznam!$A$2:$D$50,4))</f>
      </c>
      <c r="R57" s="4">
        <f>A53</f>
        <v>0</v>
      </c>
      <c r="S57" s="4" t="str">
        <f>IF($R57=0,"bye",VLOOKUP($R57,seznam!$A$2:$C$50,2))</f>
        <v>bye</v>
      </c>
      <c r="U57" s="25"/>
      <c r="V57" s="26"/>
      <c r="W57" s="26"/>
      <c r="X57" s="26"/>
      <c r="Y57" s="27"/>
      <c r="Z57" s="4">
        <f t="shared" si="62"/>
        <v>0</v>
      </c>
      <c r="AA57" s="4">
        <f t="shared" si="63"/>
        <v>0</v>
      </c>
      <c r="AB57" s="4">
        <f t="shared" si="64"/>
        <v>0</v>
      </c>
      <c r="AC57" s="4">
        <f>IF($AB57=0,"",VLOOKUP($AB57,seznam!$A$2:$C$50,2))</f>
      </c>
      <c r="AD57" s="4">
        <f t="shared" si="65"/>
      </c>
      <c r="AE57" s="4">
        <f t="shared" si="66"/>
      </c>
      <c r="AF57" s="4">
        <f t="shared" si="67"/>
        <v>0</v>
      </c>
      <c r="AG57" s="4">
        <f t="shared" si="68"/>
        <v>0</v>
      </c>
      <c r="AI57" s="4">
        <f t="shared" si="69"/>
        <v>0</v>
      </c>
      <c r="AJ57" s="4">
        <f t="shared" si="70"/>
        <v>0</v>
      </c>
      <c r="AK57" s="4">
        <f t="shared" si="71"/>
        <v>0</v>
      </c>
      <c r="AL57" s="4">
        <f t="shared" si="72"/>
        <v>0</v>
      </c>
      <c r="AM57" s="4">
        <f t="shared" si="73"/>
        <v>0</v>
      </c>
    </row>
    <row r="58" spans="11:39" ht="15" customHeight="1">
      <c r="K58" s="4" t="str">
        <f t="shared" si="60"/>
        <v>bye - bye</v>
      </c>
      <c r="L58" s="4">
        <f t="shared" si="61"/>
      </c>
      <c r="N58" s="4" t="str">
        <f t="shared" si="74"/>
        <v>Dvouhra - Skupina E</v>
      </c>
      <c r="O58" s="4">
        <f>A54</f>
        <v>0</v>
      </c>
      <c r="P58" s="4" t="str">
        <f>IF($O58=0,"bye",VLOOKUP($O58,seznam!$A$2:$C$50,2))</f>
        <v>bye</v>
      </c>
      <c r="Q58" s="4">
        <f>IF($O58=0,"",VLOOKUP($O58,seznam!$A$2:$D$50,4))</f>
      </c>
      <c r="R58" s="4">
        <f>A52</f>
        <v>0</v>
      </c>
      <c r="S58" s="4" t="str">
        <f>IF($R58=0,"bye",VLOOKUP($R58,seznam!$A$2:$C$50,2))</f>
        <v>bye</v>
      </c>
      <c r="U58" s="25"/>
      <c r="V58" s="26"/>
      <c r="W58" s="26"/>
      <c r="X58" s="26"/>
      <c r="Y58" s="27"/>
      <c r="Z58" s="4">
        <f t="shared" si="62"/>
        <v>0</v>
      </c>
      <c r="AA58" s="4">
        <f t="shared" si="63"/>
        <v>0</v>
      </c>
      <c r="AB58" s="4">
        <f t="shared" si="64"/>
        <v>0</v>
      </c>
      <c r="AC58" s="4">
        <f>IF($AB58=0,"",VLOOKUP($AB58,seznam!$A$2:$C$50,2))</f>
      </c>
      <c r="AD58" s="4">
        <f t="shared" si="65"/>
      </c>
      <c r="AE58" s="4">
        <f t="shared" si="66"/>
      </c>
      <c r="AF58" s="4">
        <f t="shared" si="67"/>
        <v>0</v>
      </c>
      <c r="AG58" s="4">
        <f t="shared" si="68"/>
        <v>0</v>
      </c>
      <c r="AI58" s="4">
        <f t="shared" si="69"/>
        <v>0</v>
      </c>
      <c r="AJ58" s="4">
        <f t="shared" si="70"/>
        <v>0</v>
      </c>
      <c r="AK58" s="4">
        <f t="shared" si="71"/>
        <v>0</v>
      </c>
      <c r="AL58" s="4">
        <f t="shared" si="72"/>
        <v>0</v>
      </c>
      <c r="AM58" s="4">
        <f t="shared" si="73"/>
        <v>0</v>
      </c>
    </row>
    <row r="59" spans="11:39" ht="15" customHeight="1" thickBot="1">
      <c r="K59" s="4" t="str">
        <f t="shared" si="60"/>
        <v>bye - bye</v>
      </c>
      <c r="L59" s="4">
        <f t="shared" si="61"/>
      </c>
      <c r="N59" s="4" t="str">
        <f t="shared" si="74"/>
        <v>Dvouhra - Skupina E</v>
      </c>
      <c r="O59" s="4">
        <f>A55</f>
        <v>0</v>
      </c>
      <c r="P59" s="4" t="str">
        <f>IF($O59=0,"bye",VLOOKUP($O59,seznam!$A$2:$C$50,2))</f>
        <v>bye</v>
      </c>
      <c r="Q59" s="4">
        <f>IF($O59=0,"",VLOOKUP($O59,seznam!$A$2:$D$50,4))</f>
      </c>
      <c r="R59" s="4">
        <f>A51</f>
        <v>0</v>
      </c>
      <c r="S59" s="4" t="str">
        <f>IF($R59=0,"bye",VLOOKUP($R59,seznam!$A$2:$C$50,2))</f>
        <v>bye</v>
      </c>
      <c r="U59" s="38"/>
      <c r="V59" s="39"/>
      <c r="W59" s="39"/>
      <c r="X59" s="39"/>
      <c r="Y59" s="40"/>
      <c r="Z59" s="4">
        <f t="shared" si="62"/>
        <v>0</v>
      </c>
      <c r="AA59" s="4">
        <f t="shared" si="63"/>
        <v>0</v>
      </c>
      <c r="AB59" s="4">
        <f t="shared" si="64"/>
        <v>0</v>
      </c>
      <c r="AC59" s="4">
        <f>IF($AB59=0,"",VLOOKUP($AB59,seznam!$A$2:$C$50,2))</f>
      </c>
      <c r="AD59" s="4">
        <f t="shared" si="65"/>
      </c>
      <c r="AE59" s="4">
        <f t="shared" si="66"/>
      </c>
      <c r="AF59" s="4">
        <f t="shared" si="67"/>
        <v>0</v>
      </c>
      <c r="AG59" s="4">
        <f t="shared" si="68"/>
        <v>0</v>
      </c>
      <c r="AI59" s="4">
        <f t="shared" si="69"/>
        <v>0</v>
      </c>
      <c r="AJ59" s="4">
        <f t="shared" si="70"/>
        <v>0</v>
      </c>
      <c r="AK59" s="4">
        <f t="shared" si="71"/>
        <v>0</v>
      </c>
      <c r="AL59" s="4">
        <f t="shared" si="72"/>
        <v>0</v>
      </c>
      <c r="AM59" s="4">
        <f t="shared" si="73"/>
        <v>0</v>
      </c>
    </row>
    <row r="60" spans="1:28" ht="15" customHeight="1" thickBot="1" thickTop="1">
      <c r="A60" s="3"/>
      <c r="B60" s="3"/>
      <c r="C60" s="5"/>
      <c r="D60" s="3"/>
      <c r="E60" s="3"/>
      <c r="F60" s="3"/>
      <c r="G60" s="3"/>
      <c r="H60" s="7"/>
      <c r="L60" s="8"/>
      <c r="N60" s="9" t="str">
        <f>B61</f>
        <v>Skupina F</v>
      </c>
      <c r="O60" s="9" t="s">
        <v>3</v>
      </c>
      <c r="P60" s="9" t="s">
        <v>46</v>
      </c>
      <c r="Q60" s="9" t="s">
        <v>4</v>
      </c>
      <c r="R60" s="9" t="s">
        <v>3</v>
      </c>
      <c r="S60" s="9" t="s">
        <v>47</v>
      </c>
      <c r="T60" s="9" t="s">
        <v>4</v>
      </c>
      <c r="U60" s="10" t="s">
        <v>5</v>
      </c>
      <c r="V60" s="10" t="s">
        <v>6</v>
      </c>
      <c r="W60" s="10" t="s">
        <v>7</v>
      </c>
      <c r="X60" s="10" t="s">
        <v>8</v>
      </c>
      <c r="Y60" s="10" t="s">
        <v>9</v>
      </c>
      <c r="Z60" s="9" t="s">
        <v>10</v>
      </c>
      <c r="AA60" s="9" t="s">
        <v>11</v>
      </c>
      <c r="AB60" s="9" t="s">
        <v>12</v>
      </c>
    </row>
    <row r="61" spans="1:39" ht="15" customHeight="1" thickBot="1" thickTop="1">
      <c r="A61" s="11"/>
      <c r="B61" s="12" t="s">
        <v>22</v>
      </c>
      <c r="C61" s="13">
        <v>1</v>
      </c>
      <c r="D61" s="14">
        <v>2</v>
      </c>
      <c r="E61" s="14">
        <v>3</v>
      </c>
      <c r="F61" s="41">
        <v>4</v>
      </c>
      <c r="G61" s="15">
        <v>5</v>
      </c>
      <c r="H61" s="16" t="s">
        <v>15</v>
      </c>
      <c r="I61" s="15" t="s">
        <v>16</v>
      </c>
      <c r="K61" s="4" t="str">
        <f aca="true" t="shared" si="75" ref="K61:K70">CONCATENATE(P61," - ",S61)</f>
        <v>bye - bye</v>
      </c>
      <c r="L61" s="4">
        <f aca="true" t="shared" si="76" ref="L61:L70">IF(SUM(Z61:AA61)=0,AE61,CONCATENATE(Z61," : ",AA61," (",U61,",",V61,",",W61,IF(Z61+AA61&gt;3,",",""),X61,IF(Z61+AA61&gt;4,",",""),Y61,")"))</f>
      </c>
      <c r="N61" s="4" t="str">
        <f>CONCATENATE("Dvouhra - Skupina F")</f>
        <v>Dvouhra - Skupina F</v>
      </c>
      <c r="O61" s="4">
        <f>A63</f>
        <v>0</v>
      </c>
      <c r="P61" s="4" t="str">
        <f>IF($O61=0,"bye",VLOOKUP($O61,seznam!$A$2:$C$50,2))</f>
        <v>bye</v>
      </c>
      <c r="Q61" s="4">
        <f>IF($O61=0,"",VLOOKUP($O61,seznam!$A$2:$D$50,4))</f>
      </c>
      <c r="R61" s="4">
        <f>A66</f>
        <v>0</v>
      </c>
      <c r="S61" s="4" t="str">
        <f>IF($R61=0,"bye",VLOOKUP($R61,seznam!$A$2:$C$50,2))</f>
        <v>bye</v>
      </c>
      <c r="T61" s="4">
        <f>IF($R61=0,"",VLOOKUP($R61,seznam!$A$2:$D$50,4))</f>
      </c>
      <c r="U61" s="17"/>
      <c r="V61" s="18"/>
      <c r="W61" s="18"/>
      <c r="X61" s="18"/>
      <c r="Y61" s="19"/>
      <c r="Z61" s="4">
        <f aca="true" t="shared" si="77" ref="Z61:Z70">COUNTIF(AI61:AM61,"&gt;0")</f>
        <v>0</v>
      </c>
      <c r="AA61" s="4">
        <f aca="true" t="shared" si="78" ref="AA61:AA70">COUNTIF(AI61:AM61,"&lt;0")</f>
        <v>0</v>
      </c>
      <c r="AB61" s="4">
        <f aca="true" t="shared" si="79" ref="AB61:AB70">IF(Z61=AA61,0,IF(Z61&gt;AA61,O61,R61))</f>
        <v>0</v>
      </c>
      <c r="AC61" s="4">
        <f>IF($AB61=0,"",VLOOKUP($AB61,seznam!$A$2:$C$50,2))</f>
      </c>
      <c r="AD61" s="4">
        <f aca="true" t="shared" si="80" ref="AD61:AD70">IF(Z61=AA61,"",IF(Z61&gt;AA61,CONCATENATE(Z61,":",AA61," (",U61,",",V61,",",W61,IF(SUM(Z61:AA61)&gt;3,",",""),X61,IF(SUM(Z61:AA61)&gt;4,",",""),Y61,")"),CONCATENATE(AA61,":",Z61," (",-U61,",",-V61,",",-W61,IF(SUM(Z61:AA61)&gt;3,CONCATENATE(",",-X61),""),IF(SUM(Z61:AA61)&gt;4,CONCATENATE(",",-Y61),""),")")))</f>
      </c>
      <c r="AE61" s="4">
        <f aca="true" t="shared" si="81" ref="AE61:AE70">IF(SUM(Z61:AA61)=0,"",AD61)</f>
      </c>
      <c r="AF61" s="4">
        <f aca="true" t="shared" si="82" ref="AF61:AF70">IF(U61="",0,IF(Z61&gt;AA61,2,1))</f>
        <v>0</v>
      </c>
      <c r="AG61" s="4">
        <f aca="true" t="shared" si="83" ref="AG61:AG70">IF(U61="",0,IF(AA61&gt;Z61,2,1))</f>
        <v>0</v>
      </c>
      <c r="AI61" s="4">
        <f aca="true" t="shared" si="84" ref="AI61:AI70">IF(U61="",0,IF(MID(U61,1,1)="-",-1,1))</f>
        <v>0</v>
      </c>
      <c r="AJ61" s="4">
        <f aca="true" t="shared" si="85" ref="AJ61:AJ70">IF(V61="",0,IF(MID(V61,1,1)="-",-1,1))</f>
        <v>0</v>
      </c>
      <c r="AK61" s="4">
        <f aca="true" t="shared" si="86" ref="AK61:AK70">IF(W61="",0,IF(MID(W61,1,1)="-",-1,1))</f>
        <v>0</v>
      </c>
      <c r="AL61" s="4">
        <f aca="true" t="shared" si="87" ref="AL61:AL70">IF(X61="",0,IF(MID(X61,1,1)="-",-1,1))</f>
        <v>0</v>
      </c>
      <c r="AM61" s="4">
        <f aca="true" t="shared" si="88" ref="AM61:AM70">IF(Y61="",0,IF(MID(Y61,1,1)="-",-1,1))</f>
        <v>0</v>
      </c>
    </row>
    <row r="62" spans="1:39" ht="15" customHeight="1" thickTop="1">
      <c r="A62" s="239"/>
      <c r="B62" s="20">
        <f>IF($A62="","",CONCATENATE(VLOOKUP($A62,seznam!$A$2:$B$50,2)," (",VLOOKUP($A62,seznam!$A$2:$E$51,4),")"))</f>
      </c>
      <c r="C62" s="21" t="s">
        <v>17</v>
      </c>
      <c r="D62" s="22">
        <f>IF(Z64+AA64=0,"",CONCATENATE(Z64,":",AA64))</f>
      </c>
      <c r="E62" s="22">
        <f>IF(Z65+AA65=0,"",CONCATENATE(AA65,":",Z65))</f>
      </c>
      <c r="F62" s="22">
        <f>IF(Z67+AA67=0,"",CONCATENATE(Z67,":",AA67))</f>
      </c>
      <c r="G62" s="23">
        <f>IF(Z70+AA70=0,"",CONCATENATE(AA70,":",Z70))</f>
      </c>
      <c r="H62" s="24">
        <f>IF(AF64+AG65+AF67+AG70=0,"",AF64+AG65+AF67+AG70)</f>
      </c>
      <c r="I62" s="23"/>
      <c r="K62" s="4" t="str">
        <f t="shared" si="75"/>
        <v>bye - bye</v>
      </c>
      <c r="L62" s="4">
        <f t="shared" si="76"/>
      </c>
      <c r="N62" s="4" t="str">
        <f aca="true" t="shared" si="89" ref="N62:N70">CONCATENATE("Dvouhra - Skupina F")</f>
        <v>Dvouhra - Skupina F</v>
      </c>
      <c r="O62" s="4">
        <f>A64</f>
        <v>0</v>
      </c>
      <c r="P62" s="4" t="str">
        <f>IF($O62=0,"bye",VLOOKUP($O62,seznam!$A$2:$C$50,2))</f>
        <v>bye</v>
      </c>
      <c r="Q62" s="4">
        <f>IF($O62=0,"",VLOOKUP($O62,seznam!$A$2:$D$50,4))</f>
      </c>
      <c r="R62" s="4">
        <f>A65</f>
        <v>0</v>
      </c>
      <c r="S62" s="4" t="str">
        <f>IF($R62=0,"bye",VLOOKUP($R62,seznam!$A$2:$C$50,2))</f>
        <v>bye</v>
      </c>
      <c r="T62" s="4">
        <f>IF($R62=0,"",VLOOKUP($R62,seznam!$A$2:$D$50,4))</f>
      </c>
      <c r="U62" s="25"/>
      <c r="V62" s="26"/>
      <c r="W62" s="26"/>
      <c r="X62" s="26"/>
      <c r="Y62" s="27"/>
      <c r="Z62" s="4">
        <f t="shared" si="77"/>
        <v>0</v>
      </c>
      <c r="AA62" s="4">
        <f t="shared" si="78"/>
        <v>0</v>
      </c>
      <c r="AB62" s="4">
        <f t="shared" si="79"/>
        <v>0</v>
      </c>
      <c r="AC62" s="4">
        <f>IF($AB62=0,"",VLOOKUP($AB62,seznam!$A$2:$C$50,2))</f>
      </c>
      <c r="AD62" s="4">
        <f t="shared" si="80"/>
      </c>
      <c r="AE62" s="4">
        <f t="shared" si="81"/>
      </c>
      <c r="AF62" s="4">
        <f t="shared" si="82"/>
        <v>0</v>
      </c>
      <c r="AG62" s="4">
        <f t="shared" si="83"/>
        <v>0</v>
      </c>
      <c r="AI62" s="4">
        <f t="shared" si="84"/>
        <v>0</v>
      </c>
      <c r="AJ62" s="4">
        <f t="shared" si="85"/>
        <v>0</v>
      </c>
      <c r="AK62" s="4">
        <f t="shared" si="86"/>
        <v>0</v>
      </c>
      <c r="AL62" s="4">
        <f t="shared" si="87"/>
        <v>0</v>
      </c>
      <c r="AM62" s="4">
        <f t="shared" si="88"/>
        <v>0</v>
      </c>
    </row>
    <row r="63" spans="1:39" ht="15" customHeight="1">
      <c r="A63" s="240"/>
      <c r="B63" s="28">
        <f>IF($A63="","",CONCATENATE(VLOOKUP($A63,seznam!$A$2:$B$50,2)," (",VLOOKUP($A63,seznam!$A$2:$E$51,4),")"))</f>
      </c>
      <c r="C63" s="29">
        <f>IF(Z64+AA64=0,"",CONCATENATE(AA64,":",Z64))</f>
      </c>
      <c r="D63" s="30" t="s">
        <v>17</v>
      </c>
      <c r="E63" s="30">
        <f>IF(Z68+AA68=0,"",CONCATENATE(Z68,":",AA68))</f>
      </c>
      <c r="F63" s="22">
        <f>IF(Z69+AA69=0,"",CONCATENATE(AA69,":",Z69))</f>
      </c>
      <c r="G63" s="31">
        <f>IF(Z61+AA61=0,"",CONCATENATE(Z61,":",AA61))</f>
      </c>
      <c r="H63" s="32">
        <f>IF(AF61+AG64+AF68+AG69=0,"",AF61+AG64+AF68+AG69)</f>
      </c>
      <c r="I63" s="31"/>
      <c r="K63" s="4" t="str">
        <f t="shared" si="75"/>
        <v>bye - bye</v>
      </c>
      <c r="L63" s="4">
        <f t="shared" si="76"/>
      </c>
      <c r="N63" s="4" t="str">
        <f t="shared" si="89"/>
        <v>Dvouhra - Skupina F</v>
      </c>
      <c r="O63" s="4">
        <f>A66</f>
        <v>0</v>
      </c>
      <c r="P63" s="4" t="str">
        <f>IF($O63=0,"bye",VLOOKUP($O63,seznam!$A$2:$C$50,2))</f>
        <v>bye</v>
      </c>
      <c r="Q63" s="4">
        <f>IF($O63=0,"",VLOOKUP($O63,seznam!$A$2:$D$50,4))</f>
      </c>
      <c r="R63" s="4">
        <f>A64</f>
        <v>0</v>
      </c>
      <c r="S63" s="4" t="str">
        <f>IF($R63=0,"bye",VLOOKUP($R63,seznam!$A$2:$C$50,2))</f>
        <v>bye</v>
      </c>
      <c r="T63" s="4">
        <f>IF($R63=0,"",VLOOKUP($R63,seznam!$A$2:$D$50,4))</f>
      </c>
      <c r="U63" s="25"/>
      <c r="V63" s="26"/>
      <c r="W63" s="26"/>
      <c r="X63" s="26"/>
      <c r="Y63" s="27"/>
      <c r="Z63" s="4">
        <f t="shared" si="77"/>
        <v>0</v>
      </c>
      <c r="AA63" s="4">
        <f t="shared" si="78"/>
        <v>0</v>
      </c>
      <c r="AB63" s="4">
        <f t="shared" si="79"/>
        <v>0</v>
      </c>
      <c r="AC63" s="4">
        <f>IF($AB63=0,"",VLOOKUP($AB63,seznam!$A$2:$C$50,2))</f>
      </c>
      <c r="AD63" s="4">
        <f t="shared" si="80"/>
      </c>
      <c r="AE63" s="4">
        <f t="shared" si="81"/>
      </c>
      <c r="AF63" s="4">
        <f t="shared" si="82"/>
        <v>0</v>
      </c>
      <c r="AG63" s="4">
        <f t="shared" si="83"/>
        <v>0</v>
      </c>
      <c r="AI63" s="4">
        <f t="shared" si="84"/>
        <v>0</v>
      </c>
      <c r="AJ63" s="4">
        <f t="shared" si="85"/>
        <v>0</v>
      </c>
      <c r="AK63" s="4">
        <f t="shared" si="86"/>
        <v>0</v>
      </c>
      <c r="AL63" s="4">
        <f t="shared" si="87"/>
        <v>0</v>
      </c>
      <c r="AM63" s="4">
        <f t="shared" si="88"/>
        <v>0</v>
      </c>
    </row>
    <row r="64" spans="1:39" ht="15" customHeight="1">
      <c r="A64" s="240"/>
      <c r="B64" s="28">
        <f>IF($A64="","",CONCATENATE(VLOOKUP($A64,seznam!$A$2:$B$50,2)," (",VLOOKUP($A64,seznam!$A$2:$E$51,4),")"))</f>
      </c>
      <c r="C64" s="29">
        <f>IF(Z65+AA65=0,"",CONCATENATE(Z65,":",AA65))</f>
      </c>
      <c r="D64" s="30">
        <f>IF(Z68+AA68=0,"",CONCATENATE(AA68,":",Z68))</f>
      </c>
      <c r="E64" s="30" t="s">
        <v>17</v>
      </c>
      <c r="F64" s="22">
        <f>IF(Z62+AA62=0,"",CONCATENATE(Z62,":",AA62))</f>
      </c>
      <c r="G64" s="31">
        <f>IF(Z63+AA63=0,"",CONCATENATE(AA63,":",Z63))</f>
      </c>
      <c r="H64" s="32">
        <f>IF(AF62+AG63+AF65+AG68=0,"",AF62+AG63+AF65+AG68)</f>
      </c>
      <c r="I64" s="31"/>
      <c r="K64" s="4" t="str">
        <f t="shared" si="75"/>
        <v>bye - bye</v>
      </c>
      <c r="L64" s="4">
        <f t="shared" si="76"/>
      </c>
      <c r="N64" s="4" t="str">
        <f t="shared" si="89"/>
        <v>Dvouhra - Skupina F</v>
      </c>
      <c r="O64" s="4">
        <f>A62</f>
        <v>0</v>
      </c>
      <c r="P64" s="4" t="str">
        <f>IF($O64=0,"bye",VLOOKUP($O64,seznam!$A$2:$C$50,2))</f>
        <v>bye</v>
      </c>
      <c r="Q64" s="4">
        <f>IF($O64=0,"",VLOOKUP($O64,seznam!$A$2:$D$50,4))</f>
      </c>
      <c r="R64" s="4">
        <f>A63</f>
        <v>0</v>
      </c>
      <c r="S64" s="4" t="str">
        <f>IF($R64=0,"bye",VLOOKUP($R64,seznam!$A$2:$C$50,2))</f>
        <v>bye</v>
      </c>
      <c r="T64" s="4">
        <f>IF($R64=0,"",VLOOKUP($R64,seznam!$A$2:$D$50,4))</f>
      </c>
      <c r="U64" s="25"/>
      <c r="V64" s="26"/>
      <c r="W64" s="26"/>
      <c r="X64" s="26"/>
      <c r="Y64" s="27"/>
      <c r="Z64" s="4">
        <f t="shared" si="77"/>
        <v>0</v>
      </c>
      <c r="AA64" s="4">
        <f t="shared" si="78"/>
        <v>0</v>
      </c>
      <c r="AB64" s="4">
        <f t="shared" si="79"/>
        <v>0</v>
      </c>
      <c r="AC64" s="4">
        <f>IF($AB64=0,"",VLOOKUP($AB64,seznam!$A$2:$C$50,2))</f>
      </c>
      <c r="AD64" s="4">
        <f t="shared" si="80"/>
      </c>
      <c r="AE64" s="4">
        <f t="shared" si="81"/>
      </c>
      <c r="AF64" s="4">
        <f t="shared" si="82"/>
        <v>0</v>
      </c>
      <c r="AG64" s="4">
        <f t="shared" si="83"/>
        <v>0</v>
      </c>
      <c r="AI64" s="4">
        <f t="shared" si="84"/>
        <v>0</v>
      </c>
      <c r="AJ64" s="4">
        <f t="shared" si="85"/>
        <v>0</v>
      </c>
      <c r="AK64" s="4">
        <f t="shared" si="86"/>
        <v>0</v>
      </c>
      <c r="AL64" s="4">
        <f t="shared" si="87"/>
        <v>0</v>
      </c>
      <c r="AM64" s="4">
        <f t="shared" si="88"/>
        <v>0</v>
      </c>
    </row>
    <row r="65" spans="1:39" ht="15" customHeight="1">
      <c r="A65" s="242"/>
      <c r="B65" s="28">
        <f>IF($A65="","",CONCATENATE(VLOOKUP($A65,seznam!$A$2:$B$50,2)," (",VLOOKUP($A65,seznam!$A$2:$E$51,4),")"))</f>
      </c>
      <c r="C65" s="29">
        <f>IF(Z67+AA67=0,"",CONCATENATE(AA67,":",Z67))</f>
      </c>
      <c r="D65" s="30">
        <f>IF(Z69+AA69=0,"",CONCATENATE(Z69,":",AA69))</f>
      </c>
      <c r="E65" s="30">
        <f>IF(Z62+AA62=0,"",CONCATENATE(AA62,":",Z62))</f>
      </c>
      <c r="F65" s="30" t="s">
        <v>17</v>
      </c>
      <c r="G65" s="31">
        <f>IF(Z66+AA66=0,"",CONCATENATE(Z66,":",AA66))</f>
      </c>
      <c r="H65" s="32">
        <f>IF(AG62+AF66+AG67+AF69=0,"",AG62+AF66+AG67+AF69)</f>
      </c>
      <c r="I65" s="42"/>
      <c r="K65" s="4" t="str">
        <f t="shared" si="75"/>
        <v>bye - bye</v>
      </c>
      <c r="L65" s="4">
        <f t="shared" si="76"/>
      </c>
      <c r="N65" s="4" t="str">
        <f t="shared" si="89"/>
        <v>Dvouhra - Skupina F</v>
      </c>
      <c r="O65" s="4">
        <f>A64</f>
        <v>0</v>
      </c>
      <c r="P65" s="4" t="str">
        <f>IF($O65=0,"bye",VLOOKUP($O65,seznam!$A$2:$C$50,2))</f>
        <v>bye</v>
      </c>
      <c r="Q65" s="4">
        <f>IF($O65=0,"",VLOOKUP($O65,seznam!$A$2:$D$50,4))</f>
      </c>
      <c r="R65" s="4">
        <f>A62</f>
        <v>0</v>
      </c>
      <c r="S65" s="4" t="str">
        <f>IF($R65=0,"bye",VLOOKUP($R65,seznam!$A$2:$C$50,2))</f>
        <v>bye</v>
      </c>
      <c r="T65" s="4">
        <f>IF($R65=0,"",VLOOKUP($R65,seznam!$A$2:$D$50,4))</f>
      </c>
      <c r="U65" s="25"/>
      <c r="V65" s="26"/>
      <c r="W65" s="26"/>
      <c r="X65" s="26"/>
      <c r="Y65" s="27"/>
      <c r="Z65" s="4">
        <f t="shared" si="77"/>
        <v>0</v>
      </c>
      <c r="AA65" s="4">
        <f t="shared" si="78"/>
        <v>0</v>
      </c>
      <c r="AB65" s="4">
        <f t="shared" si="79"/>
        <v>0</v>
      </c>
      <c r="AC65" s="4">
        <f>IF($AB65=0,"",VLOOKUP($AB65,seznam!$A$2:$C$50,2))</f>
      </c>
      <c r="AD65" s="4">
        <f t="shared" si="80"/>
      </c>
      <c r="AE65" s="4">
        <f t="shared" si="81"/>
      </c>
      <c r="AF65" s="4">
        <f t="shared" si="82"/>
        <v>0</v>
      </c>
      <c r="AG65" s="4">
        <f t="shared" si="83"/>
        <v>0</v>
      </c>
      <c r="AI65" s="4">
        <f t="shared" si="84"/>
        <v>0</v>
      </c>
      <c r="AJ65" s="4">
        <f t="shared" si="85"/>
        <v>0</v>
      </c>
      <c r="AK65" s="4">
        <f t="shared" si="86"/>
        <v>0</v>
      </c>
      <c r="AL65" s="4">
        <f t="shared" si="87"/>
        <v>0</v>
      </c>
      <c r="AM65" s="4">
        <f t="shared" si="88"/>
        <v>0</v>
      </c>
    </row>
    <row r="66" spans="1:39" ht="15" customHeight="1" thickBot="1">
      <c r="A66" s="241"/>
      <c r="B66" s="33">
        <f>IF($A66="","",CONCATENATE(VLOOKUP($A66,seznam!$A$2:$B$50,2)," (",VLOOKUP($A66,seznam!$A$2:$E$51,4),")"))</f>
      </c>
      <c r="C66" s="34">
        <f>IF(Z70+AA70=0,"",CONCATENATE(Z70,":",AA70))</f>
      </c>
      <c r="D66" s="35">
        <f>IF(Z61+AA61=0,"",CONCATENATE(AA61,":",Z61))</f>
      </c>
      <c r="E66" s="35">
        <f>IF(Z63+AA63=0,"",CONCATENATE(Z63,":",AA63))</f>
      </c>
      <c r="F66" s="43">
        <f>IF(Z66+AA66=0,"",CONCATENATE(AA66,":",Z66))</f>
      </c>
      <c r="G66" s="36" t="s">
        <v>17</v>
      </c>
      <c r="H66" s="37">
        <f>IF(AG61+AF63+AG66+AF70=0,"",AG61+AF63+AG66+AF70)</f>
      </c>
      <c r="I66" s="36"/>
      <c r="K66" s="4" t="str">
        <f t="shared" si="75"/>
        <v>bye - bye</v>
      </c>
      <c r="L66" s="4">
        <f t="shared" si="76"/>
      </c>
      <c r="N66" s="4" t="str">
        <f t="shared" si="89"/>
        <v>Dvouhra - Skupina F</v>
      </c>
      <c r="O66" s="4">
        <f>A65</f>
        <v>0</v>
      </c>
      <c r="P66" s="4" t="str">
        <f>IF($O66=0,"bye",VLOOKUP($O66,seznam!$A$2:$C$50,2))</f>
        <v>bye</v>
      </c>
      <c r="Q66" s="4">
        <f>IF($O66=0,"",VLOOKUP($O66,seznam!$A$2:$D$50,4))</f>
      </c>
      <c r="R66" s="4">
        <f>A66</f>
        <v>0</v>
      </c>
      <c r="S66" s="4" t="str">
        <f>IF($R66=0,"bye",VLOOKUP($R66,seznam!$A$2:$C$50,2))</f>
        <v>bye</v>
      </c>
      <c r="T66" s="4">
        <f>IF($R66=0,"",VLOOKUP($R66,seznam!$A$2:$D$50,4))</f>
      </c>
      <c r="U66" s="25"/>
      <c r="V66" s="26"/>
      <c r="W66" s="26"/>
      <c r="X66" s="26"/>
      <c r="Y66" s="27"/>
      <c r="Z66" s="4">
        <f t="shared" si="77"/>
        <v>0</v>
      </c>
      <c r="AA66" s="4">
        <f t="shared" si="78"/>
        <v>0</v>
      </c>
      <c r="AB66" s="4">
        <f t="shared" si="79"/>
        <v>0</v>
      </c>
      <c r="AC66" s="4">
        <f>IF($AB66=0,"",VLOOKUP($AB66,seznam!$A$2:$C$50,2))</f>
      </c>
      <c r="AD66" s="4">
        <f t="shared" si="80"/>
      </c>
      <c r="AE66" s="4">
        <f t="shared" si="81"/>
      </c>
      <c r="AF66" s="4">
        <f t="shared" si="82"/>
        <v>0</v>
      </c>
      <c r="AG66" s="4">
        <f t="shared" si="83"/>
        <v>0</v>
      </c>
      <c r="AI66" s="4">
        <f t="shared" si="84"/>
        <v>0</v>
      </c>
      <c r="AJ66" s="4">
        <f t="shared" si="85"/>
        <v>0</v>
      </c>
      <c r="AK66" s="4">
        <f t="shared" si="86"/>
        <v>0</v>
      </c>
      <c r="AL66" s="4">
        <f t="shared" si="87"/>
        <v>0</v>
      </c>
      <c r="AM66" s="4">
        <f t="shared" si="88"/>
        <v>0</v>
      </c>
    </row>
    <row r="67" spans="11:39" ht="15" customHeight="1" thickTop="1">
      <c r="K67" s="4" t="str">
        <f t="shared" si="75"/>
        <v>bye - bye</v>
      </c>
      <c r="L67" s="4">
        <f t="shared" si="76"/>
      </c>
      <c r="N67" s="4" t="str">
        <f t="shared" si="89"/>
        <v>Dvouhra - Skupina F</v>
      </c>
      <c r="O67" s="4">
        <f>A62</f>
        <v>0</v>
      </c>
      <c r="P67" s="4" t="str">
        <f>IF($O67=0,"bye",VLOOKUP($O67,seznam!$A$2:$C$50,2))</f>
        <v>bye</v>
      </c>
      <c r="Q67" s="4">
        <f>IF($O67=0,"",VLOOKUP($O67,seznam!$A$2:$D$50,4))</f>
      </c>
      <c r="R67" s="4">
        <f>A65</f>
        <v>0</v>
      </c>
      <c r="S67" s="4" t="str">
        <f>IF($R67=0,"bye",VLOOKUP($R67,seznam!$A$2:$C$50,2))</f>
        <v>bye</v>
      </c>
      <c r="T67" s="9"/>
      <c r="U67" s="25"/>
      <c r="V67" s="26"/>
      <c r="W67" s="26"/>
      <c r="X67" s="26"/>
      <c r="Y67" s="27"/>
      <c r="Z67" s="4">
        <f t="shared" si="77"/>
        <v>0</v>
      </c>
      <c r="AA67" s="4">
        <f t="shared" si="78"/>
        <v>0</v>
      </c>
      <c r="AB67" s="4">
        <f t="shared" si="79"/>
        <v>0</v>
      </c>
      <c r="AC67" s="4">
        <f>IF($AB67=0,"",VLOOKUP($AB67,seznam!$A$2:$C$50,2))</f>
      </c>
      <c r="AD67" s="4">
        <f t="shared" si="80"/>
      </c>
      <c r="AE67" s="4">
        <f t="shared" si="81"/>
      </c>
      <c r="AF67" s="4">
        <f t="shared" si="82"/>
        <v>0</v>
      </c>
      <c r="AG67" s="4">
        <f t="shared" si="83"/>
        <v>0</v>
      </c>
      <c r="AI67" s="4">
        <f t="shared" si="84"/>
        <v>0</v>
      </c>
      <c r="AJ67" s="4">
        <f t="shared" si="85"/>
        <v>0</v>
      </c>
      <c r="AK67" s="4">
        <f t="shared" si="86"/>
        <v>0</v>
      </c>
      <c r="AL67" s="4">
        <f t="shared" si="87"/>
        <v>0</v>
      </c>
      <c r="AM67" s="4">
        <f t="shared" si="88"/>
        <v>0</v>
      </c>
    </row>
    <row r="68" spans="11:39" ht="15" customHeight="1">
      <c r="K68" s="4" t="str">
        <f t="shared" si="75"/>
        <v>bye - bye</v>
      </c>
      <c r="L68" s="4">
        <f t="shared" si="76"/>
      </c>
      <c r="N68" s="4" t="str">
        <f t="shared" si="89"/>
        <v>Dvouhra - Skupina F</v>
      </c>
      <c r="O68" s="4">
        <f>A63</f>
        <v>0</v>
      </c>
      <c r="P68" s="4" t="str">
        <f>IF($O68=0,"bye",VLOOKUP($O68,seznam!$A$2:$C$50,2))</f>
        <v>bye</v>
      </c>
      <c r="Q68" s="4">
        <f>IF($O68=0,"",VLOOKUP($O68,seznam!$A$2:$D$50,4))</f>
      </c>
      <c r="R68" s="4">
        <f>A64</f>
        <v>0</v>
      </c>
      <c r="S68" s="4" t="str">
        <f>IF($R68=0,"bye",VLOOKUP($R68,seznam!$A$2:$C$50,2))</f>
        <v>bye</v>
      </c>
      <c r="U68" s="25"/>
      <c r="V68" s="26"/>
      <c r="W68" s="26"/>
      <c r="X68" s="26"/>
      <c r="Y68" s="27"/>
      <c r="Z68" s="4">
        <f t="shared" si="77"/>
        <v>0</v>
      </c>
      <c r="AA68" s="4">
        <f t="shared" si="78"/>
        <v>0</v>
      </c>
      <c r="AB68" s="4">
        <f t="shared" si="79"/>
        <v>0</v>
      </c>
      <c r="AC68" s="4">
        <f>IF($AB68=0,"",VLOOKUP($AB68,seznam!$A$2:$C$50,2))</f>
      </c>
      <c r="AD68" s="4">
        <f t="shared" si="80"/>
      </c>
      <c r="AE68" s="4">
        <f t="shared" si="81"/>
      </c>
      <c r="AF68" s="4">
        <f t="shared" si="82"/>
        <v>0</v>
      </c>
      <c r="AG68" s="4">
        <f t="shared" si="83"/>
        <v>0</v>
      </c>
      <c r="AI68" s="4">
        <f t="shared" si="84"/>
        <v>0</v>
      </c>
      <c r="AJ68" s="4">
        <f t="shared" si="85"/>
        <v>0</v>
      </c>
      <c r="AK68" s="4">
        <f t="shared" si="86"/>
        <v>0</v>
      </c>
      <c r="AL68" s="4">
        <f t="shared" si="87"/>
        <v>0</v>
      </c>
      <c r="AM68" s="4">
        <f t="shared" si="88"/>
        <v>0</v>
      </c>
    </row>
    <row r="69" spans="11:39" ht="15" customHeight="1">
      <c r="K69" s="4" t="str">
        <f t="shared" si="75"/>
        <v>bye - bye</v>
      </c>
      <c r="L69" s="4">
        <f t="shared" si="76"/>
      </c>
      <c r="N69" s="4" t="str">
        <f t="shared" si="89"/>
        <v>Dvouhra - Skupina F</v>
      </c>
      <c r="O69" s="4">
        <f>A65</f>
        <v>0</v>
      </c>
      <c r="P69" s="4" t="str">
        <f>IF($O69=0,"bye",VLOOKUP($O69,seznam!$A$2:$C$50,2))</f>
        <v>bye</v>
      </c>
      <c r="Q69" s="4">
        <f>IF($O69=0,"",VLOOKUP($O69,seznam!$A$2:$D$50,4))</f>
      </c>
      <c r="R69" s="4">
        <f>A63</f>
        <v>0</v>
      </c>
      <c r="S69" s="4" t="str">
        <f>IF($R69=0,"bye",VLOOKUP($R69,seznam!$A$2:$C$50,2))</f>
        <v>bye</v>
      </c>
      <c r="U69" s="25"/>
      <c r="V69" s="26"/>
      <c r="W69" s="26"/>
      <c r="X69" s="26"/>
      <c r="Y69" s="27"/>
      <c r="Z69" s="4">
        <f t="shared" si="77"/>
        <v>0</v>
      </c>
      <c r="AA69" s="4">
        <f t="shared" si="78"/>
        <v>0</v>
      </c>
      <c r="AB69" s="4">
        <f t="shared" si="79"/>
        <v>0</v>
      </c>
      <c r="AC69" s="4">
        <f>IF($AB69=0,"",VLOOKUP($AB69,seznam!$A$2:$C$50,2))</f>
      </c>
      <c r="AD69" s="4">
        <f t="shared" si="80"/>
      </c>
      <c r="AE69" s="4">
        <f t="shared" si="81"/>
      </c>
      <c r="AF69" s="4">
        <f t="shared" si="82"/>
        <v>0</v>
      </c>
      <c r="AG69" s="4">
        <f t="shared" si="83"/>
        <v>0</v>
      </c>
      <c r="AI69" s="4">
        <f t="shared" si="84"/>
        <v>0</v>
      </c>
      <c r="AJ69" s="4">
        <f t="shared" si="85"/>
        <v>0</v>
      </c>
      <c r="AK69" s="4">
        <f t="shared" si="86"/>
        <v>0</v>
      </c>
      <c r="AL69" s="4">
        <f t="shared" si="87"/>
        <v>0</v>
      </c>
      <c r="AM69" s="4">
        <f t="shared" si="88"/>
        <v>0</v>
      </c>
    </row>
    <row r="70" spans="11:39" ht="15" customHeight="1" thickBot="1">
      <c r="K70" s="4" t="str">
        <f t="shared" si="75"/>
        <v>bye - bye</v>
      </c>
      <c r="L70" s="4">
        <f t="shared" si="76"/>
      </c>
      <c r="N70" s="4" t="str">
        <f t="shared" si="89"/>
        <v>Dvouhra - Skupina F</v>
      </c>
      <c r="O70" s="4">
        <f>A66</f>
        <v>0</v>
      </c>
      <c r="P70" s="4" t="str">
        <f>IF($O70=0,"bye",VLOOKUP($O70,seznam!$A$2:$C$50,2))</f>
        <v>bye</v>
      </c>
      <c r="Q70" s="4">
        <f>IF($O70=0,"",VLOOKUP($O70,seznam!$A$2:$D$50,4))</f>
      </c>
      <c r="R70" s="4">
        <f>A62</f>
        <v>0</v>
      </c>
      <c r="S70" s="4" t="str">
        <f>IF($R70=0,"bye",VLOOKUP($R70,seznam!$A$2:$C$50,2))</f>
        <v>bye</v>
      </c>
      <c r="U70" s="38"/>
      <c r="V70" s="39"/>
      <c r="W70" s="39"/>
      <c r="X70" s="39"/>
      <c r="Y70" s="40"/>
      <c r="Z70" s="4">
        <f t="shared" si="77"/>
        <v>0</v>
      </c>
      <c r="AA70" s="4">
        <f t="shared" si="78"/>
        <v>0</v>
      </c>
      <c r="AB70" s="4">
        <f t="shared" si="79"/>
        <v>0</v>
      </c>
      <c r="AC70" s="4">
        <f>IF($AB70=0,"",VLOOKUP($AB70,seznam!$A$2:$C$50,2))</f>
      </c>
      <c r="AD70" s="4">
        <f t="shared" si="80"/>
      </c>
      <c r="AE70" s="4">
        <f t="shared" si="81"/>
      </c>
      <c r="AF70" s="4">
        <f t="shared" si="82"/>
        <v>0</v>
      </c>
      <c r="AG70" s="4">
        <f t="shared" si="83"/>
        <v>0</v>
      </c>
      <c r="AI70" s="4">
        <f t="shared" si="84"/>
        <v>0</v>
      </c>
      <c r="AJ70" s="4">
        <f t="shared" si="85"/>
        <v>0</v>
      </c>
      <c r="AK70" s="4">
        <f t="shared" si="86"/>
        <v>0</v>
      </c>
      <c r="AL70" s="4">
        <f t="shared" si="87"/>
        <v>0</v>
      </c>
      <c r="AM70" s="4">
        <f t="shared" si="88"/>
        <v>0</v>
      </c>
    </row>
    <row r="71" spans="1:28" ht="15" customHeight="1" thickBot="1" thickTop="1">
      <c r="A71" s="3"/>
      <c r="B71" s="3"/>
      <c r="C71" s="5"/>
      <c r="D71" s="3"/>
      <c r="E71" s="3"/>
      <c r="F71" s="3"/>
      <c r="G71" s="3"/>
      <c r="H71" s="7"/>
      <c r="L71" s="8"/>
      <c r="N71" s="9" t="str">
        <f>B72</f>
        <v>Skupina G</v>
      </c>
      <c r="O71" s="9" t="s">
        <v>3</v>
      </c>
      <c r="P71" s="9" t="s">
        <v>46</v>
      </c>
      <c r="Q71" s="9" t="s">
        <v>4</v>
      </c>
      <c r="R71" s="9" t="s">
        <v>3</v>
      </c>
      <c r="S71" s="9" t="s">
        <v>47</v>
      </c>
      <c r="T71" s="9" t="s">
        <v>4</v>
      </c>
      <c r="U71" s="10" t="s">
        <v>5</v>
      </c>
      <c r="V71" s="10" t="s">
        <v>6</v>
      </c>
      <c r="W71" s="10" t="s">
        <v>7</v>
      </c>
      <c r="X71" s="10" t="s">
        <v>8</v>
      </c>
      <c r="Y71" s="10" t="s">
        <v>9</v>
      </c>
      <c r="Z71" s="9" t="s">
        <v>10</v>
      </c>
      <c r="AA71" s="9" t="s">
        <v>11</v>
      </c>
      <c r="AB71" s="9" t="s">
        <v>12</v>
      </c>
    </row>
    <row r="72" spans="1:39" ht="15" customHeight="1" thickBot="1" thickTop="1">
      <c r="A72" s="11"/>
      <c r="B72" s="12" t="s">
        <v>23</v>
      </c>
      <c r="C72" s="13">
        <v>1</v>
      </c>
      <c r="D72" s="14">
        <v>2</v>
      </c>
      <c r="E72" s="14">
        <v>3</v>
      </c>
      <c r="F72" s="41">
        <v>4</v>
      </c>
      <c r="G72" s="15">
        <v>5</v>
      </c>
      <c r="H72" s="16" t="s">
        <v>15</v>
      </c>
      <c r="I72" s="15" t="s">
        <v>16</v>
      </c>
      <c r="K72" s="4" t="str">
        <f aca="true" t="shared" si="90" ref="K72:K81">CONCATENATE(P72," - ",S72)</f>
        <v>bye - bye</v>
      </c>
      <c r="L72" s="4">
        <f aca="true" t="shared" si="91" ref="L72:L81">IF(SUM(Z72:AA72)=0,AE72,CONCATENATE(Z72," : ",AA72," (",U72,",",V72,",",W72,IF(Z72+AA72&gt;3,",",""),X72,IF(Z72+AA72&gt;4,",",""),Y72,")"))</f>
      </c>
      <c r="N72" s="4" t="str">
        <f>CONCATENATE("Dvouhra - Skupina G")</f>
        <v>Dvouhra - Skupina G</v>
      </c>
      <c r="O72" s="4">
        <f>A74</f>
        <v>0</v>
      </c>
      <c r="P72" s="4" t="str">
        <f>IF($O72=0,"bye",VLOOKUP($O72,seznam!$A$2:$C$50,2))</f>
        <v>bye</v>
      </c>
      <c r="Q72" s="4">
        <f>IF($O72=0,"",VLOOKUP($O72,seznam!$A$2:$D$50,4))</f>
      </c>
      <c r="R72" s="4">
        <f>A77</f>
        <v>0</v>
      </c>
      <c r="S72" s="4" t="str">
        <f>IF($R72=0,"bye",VLOOKUP($R72,seznam!$A$2:$C$50,2))</f>
        <v>bye</v>
      </c>
      <c r="T72" s="4">
        <f>IF($R72=0,"",VLOOKUP($R72,seznam!$A$2:$D$50,4))</f>
      </c>
      <c r="U72" s="17"/>
      <c r="V72" s="18"/>
      <c r="W72" s="18"/>
      <c r="X72" s="18"/>
      <c r="Y72" s="19"/>
      <c r="Z72" s="4">
        <f aca="true" t="shared" si="92" ref="Z72:Z81">COUNTIF(AI72:AM72,"&gt;0")</f>
        <v>0</v>
      </c>
      <c r="AA72" s="4">
        <f aca="true" t="shared" si="93" ref="AA72:AA81">COUNTIF(AI72:AM72,"&lt;0")</f>
        <v>0</v>
      </c>
      <c r="AB72" s="4">
        <f aca="true" t="shared" si="94" ref="AB72:AB81">IF(Z72=AA72,0,IF(Z72&gt;AA72,O72,R72))</f>
        <v>0</v>
      </c>
      <c r="AC72" s="4">
        <f>IF($AB72=0,"",VLOOKUP($AB72,seznam!$A$2:$C$50,2))</f>
      </c>
      <c r="AD72" s="4">
        <f aca="true" t="shared" si="95" ref="AD72:AD81">IF(Z72=AA72,"",IF(Z72&gt;AA72,CONCATENATE(Z72,":",AA72," (",U72,",",V72,",",W72,IF(SUM(Z72:AA72)&gt;3,",",""),X72,IF(SUM(Z72:AA72)&gt;4,",",""),Y72,")"),CONCATENATE(AA72,":",Z72," (",-U72,",",-V72,",",-W72,IF(SUM(Z72:AA72)&gt;3,CONCATENATE(",",-X72),""),IF(SUM(Z72:AA72)&gt;4,CONCATENATE(",",-Y72),""),")")))</f>
      </c>
      <c r="AE72" s="4">
        <f aca="true" t="shared" si="96" ref="AE72:AE81">IF(SUM(Z72:AA72)=0,"",AD72)</f>
      </c>
      <c r="AF72" s="4">
        <f aca="true" t="shared" si="97" ref="AF72:AF81">IF(U72="",0,IF(Z72&gt;AA72,2,1))</f>
        <v>0</v>
      </c>
      <c r="AG72" s="4">
        <f aca="true" t="shared" si="98" ref="AG72:AG81">IF(U72="",0,IF(AA72&gt;Z72,2,1))</f>
        <v>0</v>
      </c>
      <c r="AI72" s="4">
        <f aca="true" t="shared" si="99" ref="AI72:AI81">IF(U72="",0,IF(MID(U72,1,1)="-",-1,1))</f>
        <v>0</v>
      </c>
      <c r="AJ72" s="4">
        <f aca="true" t="shared" si="100" ref="AJ72:AJ81">IF(V72="",0,IF(MID(V72,1,1)="-",-1,1))</f>
        <v>0</v>
      </c>
      <c r="AK72" s="4">
        <f aca="true" t="shared" si="101" ref="AK72:AK81">IF(W72="",0,IF(MID(W72,1,1)="-",-1,1))</f>
        <v>0</v>
      </c>
      <c r="AL72" s="4">
        <f aca="true" t="shared" si="102" ref="AL72:AL81">IF(X72="",0,IF(MID(X72,1,1)="-",-1,1))</f>
        <v>0</v>
      </c>
      <c r="AM72" s="4">
        <f aca="true" t="shared" si="103" ref="AM72:AM81">IF(Y72="",0,IF(MID(Y72,1,1)="-",-1,1))</f>
        <v>0</v>
      </c>
    </row>
    <row r="73" spans="1:39" ht="15" customHeight="1" thickTop="1">
      <c r="A73" s="239"/>
      <c r="B73" s="20">
        <f>IF($A73="","",CONCATENATE(VLOOKUP($A73,seznam!$A$2:$B$50,2)," (",VLOOKUP($A73,seznam!$A$2:$E$51,4),")"))</f>
      </c>
      <c r="C73" s="21" t="s">
        <v>17</v>
      </c>
      <c r="D73" s="22">
        <f>IF(Z75+AA75=0,"",CONCATENATE(Z75,":",AA75))</f>
      </c>
      <c r="E73" s="22">
        <f>IF(Z76+AA76=0,"",CONCATENATE(AA76,":",Z76))</f>
      </c>
      <c r="F73" s="22">
        <f>IF(Z78+AA78=0,"",CONCATENATE(Z78,":",AA78))</f>
      </c>
      <c r="G73" s="23">
        <f>IF(Z81+AA81=0,"",CONCATENATE(AA81,":",Z81))</f>
      </c>
      <c r="H73" s="24">
        <f>IF(AF75+AG76+AF78+AG81=0,"",AF75+AG76+AF78+AG81)</f>
      </c>
      <c r="I73" s="23"/>
      <c r="K73" s="4" t="str">
        <f t="shared" si="90"/>
        <v>bye - bye</v>
      </c>
      <c r="L73" s="4">
        <f t="shared" si="91"/>
      </c>
      <c r="N73" s="4" t="str">
        <f aca="true" t="shared" si="104" ref="N73:N81">CONCATENATE("Dvouhra - Skupina G")</f>
        <v>Dvouhra - Skupina G</v>
      </c>
      <c r="O73" s="4">
        <f>A75</f>
        <v>0</v>
      </c>
      <c r="P73" s="4" t="str">
        <f>IF($O73=0,"bye",VLOOKUP($O73,seznam!$A$2:$C$50,2))</f>
        <v>bye</v>
      </c>
      <c r="Q73" s="4">
        <f>IF($O73=0,"",VLOOKUP($O73,seznam!$A$2:$D$50,4))</f>
      </c>
      <c r="R73" s="4">
        <f>A76</f>
        <v>0</v>
      </c>
      <c r="S73" s="4" t="str">
        <f>IF($R73=0,"bye",VLOOKUP($R73,seznam!$A$2:$C$50,2))</f>
        <v>bye</v>
      </c>
      <c r="T73" s="4">
        <f>IF($R73=0,"",VLOOKUP($R73,seznam!$A$2:$D$50,4))</f>
      </c>
      <c r="U73" s="25"/>
      <c r="V73" s="26"/>
      <c r="W73" s="26"/>
      <c r="X73" s="26"/>
      <c r="Y73" s="27"/>
      <c r="Z73" s="4">
        <f t="shared" si="92"/>
        <v>0</v>
      </c>
      <c r="AA73" s="4">
        <f t="shared" si="93"/>
        <v>0</v>
      </c>
      <c r="AB73" s="4">
        <f t="shared" si="94"/>
        <v>0</v>
      </c>
      <c r="AC73" s="4">
        <f>IF($AB73=0,"",VLOOKUP($AB73,seznam!$A$2:$C$50,2))</f>
      </c>
      <c r="AD73" s="4">
        <f t="shared" si="95"/>
      </c>
      <c r="AE73" s="4">
        <f t="shared" si="96"/>
      </c>
      <c r="AF73" s="4">
        <f t="shared" si="97"/>
        <v>0</v>
      </c>
      <c r="AG73" s="4">
        <f t="shared" si="98"/>
        <v>0</v>
      </c>
      <c r="AI73" s="4">
        <f t="shared" si="99"/>
        <v>0</v>
      </c>
      <c r="AJ73" s="4">
        <f t="shared" si="100"/>
        <v>0</v>
      </c>
      <c r="AK73" s="4">
        <f t="shared" si="101"/>
        <v>0</v>
      </c>
      <c r="AL73" s="4">
        <f t="shared" si="102"/>
        <v>0</v>
      </c>
      <c r="AM73" s="4">
        <f t="shared" si="103"/>
        <v>0</v>
      </c>
    </row>
    <row r="74" spans="1:39" ht="15" customHeight="1">
      <c r="A74" s="240"/>
      <c r="C74" s="29">
        <f>IF(Z75+AA75=0,"",CONCATENATE(AA75,":",Z75))</f>
      </c>
      <c r="D74" s="30" t="s">
        <v>17</v>
      </c>
      <c r="E74" s="30">
        <f>IF(Z79+AA79=0,"",CONCATENATE(Z79,":",AA79))</f>
      </c>
      <c r="F74" s="22">
        <f>IF(Z80+AA80=0,"",CONCATENATE(AA80,":",Z80))</f>
      </c>
      <c r="G74" s="31">
        <f>IF(Z72+AA72=0,"",CONCATENATE(Z72,":",AA72))</f>
      </c>
      <c r="H74" s="32">
        <f>IF(AF72+AG75+AF79+AG80=0,"",AF72+AG75+AF79+AG80)</f>
      </c>
      <c r="I74" s="31"/>
      <c r="K74" s="4" t="str">
        <f t="shared" si="90"/>
        <v>bye - bye</v>
      </c>
      <c r="L74" s="4">
        <f t="shared" si="91"/>
      </c>
      <c r="N74" s="4" t="str">
        <f t="shared" si="104"/>
        <v>Dvouhra - Skupina G</v>
      </c>
      <c r="O74" s="4">
        <f>A77</f>
        <v>0</v>
      </c>
      <c r="P74" s="4" t="str">
        <f>IF($O74=0,"bye",VLOOKUP($O74,seznam!$A$2:$C$50,2))</f>
        <v>bye</v>
      </c>
      <c r="Q74" s="4">
        <f>IF($O74=0,"",VLOOKUP($O74,seznam!$A$2:$D$50,4))</f>
      </c>
      <c r="R74" s="4">
        <f>A75</f>
        <v>0</v>
      </c>
      <c r="S74" s="4" t="str">
        <f>IF($R74=0,"bye",VLOOKUP($R74,seznam!$A$2:$C$50,2))</f>
        <v>bye</v>
      </c>
      <c r="T74" s="4">
        <f>IF($R74=0,"",VLOOKUP($R74,seznam!$A$2:$D$50,4))</f>
      </c>
      <c r="U74" s="25"/>
      <c r="V74" s="26"/>
      <c r="W74" s="26"/>
      <c r="X74" s="26"/>
      <c r="Y74" s="27"/>
      <c r="Z74" s="4">
        <f t="shared" si="92"/>
        <v>0</v>
      </c>
      <c r="AA74" s="4">
        <f t="shared" si="93"/>
        <v>0</v>
      </c>
      <c r="AB74" s="4">
        <f t="shared" si="94"/>
        <v>0</v>
      </c>
      <c r="AC74" s="4">
        <f>IF($AB74=0,"",VLOOKUP($AB74,seznam!$A$2:$C$50,2))</f>
      </c>
      <c r="AD74" s="4">
        <f t="shared" si="95"/>
      </c>
      <c r="AE74" s="4">
        <f t="shared" si="96"/>
      </c>
      <c r="AF74" s="4">
        <f t="shared" si="97"/>
        <v>0</v>
      </c>
      <c r="AG74" s="4">
        <f t="shared" si="98"/>
        <v>0</v>
      </c>
      <c r="AI74" s="4">
        <f t="shared" si="99"/>
        <v>0</v>
      </c>
      <c r="AJ74" s="4">
        <f t="shared" si="100"/>
        <v>0</v>
      </c>
      <c r="AK74" s="4">
        <f t="shared" si="101"/>
        <v>0</v>
      </c>
      <c r="AL74" s="4">
        <f t="shared" si="102"/>
        <v>0</v>
      </c>
      <c r="AM74" s="4">
        <f t="shared" si="103"/>
        <v>0</v>
      </c>
    </row>
    <row r="75" spans="1:39" ht="15" customHeight="1">
      <c r="A75" s="240"/>
      <c r="B75" s="28"/>
      <c r="C75" s="29">
        <f>IF(Z76+AA76=0,"",CONCATENATE(Z76,":",AA76))</f>
      </c>
      <c r="D75" s="30">
        <f>IF(Z79+AA79=0,"",CONCATENATE(AA79,":",Z79))</f>
      </c>
      <c r="E75" s="30" t="s">
        <v>17</v>
      </c>
      <c r="F75" s="22">
        <f>IF(Z73+AA73=0,"",CONCATENATE(Z73,":",AA73))</f>
      </c>
      <c r="G75" s="31">
        <f>IF(Z74+AA74=0,"",CONCATENATE(AA74,":",Z74))</f>
      </c>
      <c r="H75" s="32">
        <f>IF(AF73+AG74+AF76+AG79=0,"",AF73+AG74+AF76+AG79)</f>
      </c>
      <c r="I75" s="31"/>
      <c r="K75" s="4" t="str">
        <f t="shared" si="90"/>
        <v>bye - bye</v>
      </c>
      <c r="L75" s="4">
        <f t="shared" si="91"/>
      </c>
      <c r="N75" s="4" t="str">
        <f t="shared" si="104"/>
        <v>Dvouhra - Skupina G</v>
      </c>
      <c r="O75" s="4">
        <f>A73</f>
        <v>0</v>
      </c>
      <c r="P75" s="4" t="str">
        <f>IF($O75=0,"bye",VLOOKUP($O75,seznam!$A$2:$C$50,2))</f>
        <v>bye</v>
      </c>
      <c r="Q75" s="4">
        <f>IF($O75=0,"",VLOOKUP($O75,seznam!$A$2:$D$50,4))</f>
      </c>
      <c r="R75" s="4">
        <f>A74</f>
        <v>0</v>
      </c>
      <c r="S75" s="4" t="str">
        <f>IF($R75=0,"bye",VLOOKUP($R75,seznam!$A$2:$C$50,2))</f>
        <v>bye</v>
      </c>
      <c r="T75" s="4">
        <f>IF($R75=0,"",VLOOKUP($R75,seznam!$A$2:$D$50,4))</f>
      </c>
      <c r="U75" s="25"/>
      <c r="V75" s="26"/>
      <c r="W75" s="26"/>
      <c r="X75" s="26"/>
      <c r="Y75" s="27"/>
      <c r="Z75" s="4">
        <f t="shared" si="92"/>
        <v>0</v>
      </c>
      <c r="AA75" s="4">
        <f t="shared" si="93"/>
        <v>0</v>
      </c>
      <c r="AB75" s="4">
        <f t="shared" si="94"/>
        <v>0</v>
      </c>
      <c r="AC75" s="4">
        <f>IF($AB75=0,"",VLOOKUP($AB75,seznam!$A$2:$C$50,2))</f>
      </c>
      <c r="AD75" s="4">
        <f t="shared" si="95"/>
      </c>
      <c r="AE75" s="4">
        <f t="shared" si="96"/>
      </c>
      <c r="AF75" s="4">
        <f t="shared" si="97"/>
        <v>0</v>
      </c>
      <c r="AG75" s="4">
        <f t="shared" si="98"/>
        <v>0</v>
      </c>
      <c r="AI75" s="4">
        <f t="shared" si="99"/>
        <v>0</v>
      </c>
      <c r="AJ75" s="4">
        <f t="shared" si="100"/>
        <v>0</v>
      </c>
      <c r="AK75" s="4">
        <f t="shared" si="101"/>
        <v>0</v>
      </c>
      <c r="AL75" s="4">
        <f t="shared" si="102"/>
        <v>0</v>
      </c>
      <c r="AM75" s="4">
        <f t="shared" si="103"/>
        <v>0</v>
      </c>
    </row>
    <row r="76" spans="1:39" ht="15" customHeight="1">
      <c r="A76" s="242"/>
      <c r="B76" s="28">
        <f>IF($A76="","",CONCATENATE(VLOOKUP($A76,seznam!$A$2:$B$50,2)," (",VLOOKUP($A76,seznam!$A$2:$E$51,4),")"))</f>
      </c>
      <c r="C76" s="29">
        <f>IF(Z78+AA78=0,"",CONCATENATE(AA78,":",Z78))</f>
      </c>
      <c r="D76" s="30">
        <f>IF(Z80+AA80=0,"",CONCATENATE(Z80,":",AA80))</f>
      </c>
      <c r="E76" s="30">
        <f>IF(Z73+AA73=0,"",CONCATENATE(AA73,":",Z73))</f>
      </c>
      <c r="F76" s="30" t="s">
        <v>17</v>
      </c>
      <c r="G76" s="31">
        <f>IF(Z77+AA77=0,"",CONCATENATE(Z77,":",AA77))</f>
      </c>
      <c r="H76" s="32">
        <f>IF(AG73+AF77+AG78+AF80=0,"",AG73+AF77+AG78+AF80)</f>
      </c>
      <c r="I76" s="42"/>
      <c r="K76" s="4" t="str">
        <f t="shared" si="90"/>
        <v>bye - bye</v>
      </c>
      <c r="L76" s="4">
        <f t="shared" si="91"/>
      </c>
      <c r="N76" s="4" t="str">
        <f t="shared" si="104"/>
        <v>Dvouhra - Skupina G</v>
      </c>
      <c r="O76" s="4">
        <f>A75</f>
        <v>0</v>
      </c>
      <c r="P76" s="4" t="str">
        <f>IF($O76=0,"bye",VLOOKUP($O76,seznam!$A$2:$C$50,2))</f>
        <v>bye</v>
      </c>
      <c r="Q76" s="4">
        <f>IF($O76=0,"",VLOOKUP($O76,seznam!$A$2:$D$50,4))</f>
      </c>
      <c r="R76" s="4">
        <f>A73</f>
        <v>0</v>
      </c>
      <c r="S76" s="4" t="str">
        <f>IF($R76=0,"bye",VLOOKUP($R76,seznam!$A$2:$C$50,2))</f>
        <v>bye</v>
      </c>
      <c r="T76" s="4">
        <f>IF($R76=0,"",VLOOKUP($R76,seznam!$A$2:$D$50,4))</f>
      </c>
      <c r="U76" s="25"/>
      <c r="V76" s="26"/>
      <c r="W76" s="26"/>
      <c r="X76" s="26"/>
      <c r="Y76" s="27"/>
      <c r="Z76" s="4">
        <f t="shared" si="92"/>
        <v>0</v>
      </c>
      <c r="AA76" s="4">
        <f t="shared" si="93"/>
        <v>0</v>
      </c>
      <c r="AB76" s="4">
        <f t="shared" si="94"/>
        <v>0</v>
      </c>
      <c r="AC76" s="4">
        <f>IF($AB76=0,"",VLOOKUP($AB76,seznam!$A$2:$C$50,2))</f>
      </c>
      <c r="AD76" s="4">
        <f t="shared" si="95"/>
      </c>
      <c r="AE76" s="4">
        <f t="shared" si="96"/>
      </c>
      <c r="AF76" s="4">
        <f t="shared" si="97"/>
        <v>0</v>
      </c>
      <c r="AG76" s="4">
        <f t="shared" si="98"/>
        <v>0</v>
      </c>
      <c r="AI76" s="4">
        <f t="shared" si="99"/>
        <v>0</v>
      </c>
      <c r="AJ76" s="4">
        <f t="shared" si="100"/>
        <v>0</v>
      </c>
      <c r="AK76" s="4">
        <f t="shared" si="101"/>
        <v>0</v>
      </c>
      <c r="AL76" s="4">
        <f t="shared" si="102"/>
        <v>0</v>
      </c>
      <c r="AM76" s="4">
        <f t="shared" si="103"/>
        <v>0</v>
      </c>
    </row>
    <row r="77" spans="1:39" ht="15" customHeight="1" thickBot="1">
      <c r="A77" s="241"/>
      <c r="B77" s="33">
        <f>IF($A77="","",CONCATENATE(VLOOKUP($A77,seznam!$A$2:$B$50,2)," (",VLOOKUP($A77,seznam!$A$2:$E$51,4),")"))</f>
      </c>
      <c r="C77" s="34">
        <f>IF(Z81+AA81=0,"",CONCATENATE(Z81,":",AA81))</f>
      </c>
      <c r="D77" s="35">
        <f>IF(Z72+AA72=0,"",CONCATENATE(AA72,":",Z72))</f>
      </c>
      <c r="E77" s="35">
        <f>IF(Z74+AA74=0,"",CONCATENATE(Z74,":",AA74))</f>
      </c>
      <c r="F77" s="43">
        <f>IF(Z77+AA77=0,"",CONCATENATE(AA77,":",Z77))</f>
      </c>
      <c r="G77" s="36" t="s">
        <v>17</v>
      </c>
      <c r="H77" s="37">
        <f>IF(AG72+AF74+AG77+AF81=0,"",AG72+AF74+AG77+AF81)</f>
      </c>
      <c r="I77" s="36"/>
      <c r="K77" s="4" t="str">
        <f t="shared" si="90"/>
        <v>bye - bye</v>
      </c>
      <c r="L77" s="4">
        <f t="shared" si="91"/>
      </c>
      <c r="N77" s="4" t="str">
        <f t="shared" si="104"/>
        <v>Dvouhra - Skupina G</v>
      </c>
      <c r="O77" s="4">
        <f>A76</f>
        <v>0</v>
      </c>
      <c r="P77" s="4" t="str">
        <f>IF($O77=0,"bye",VLOOKUP($O77,seznam!$A$2:$C$50,2))</f>
        <v>bye</v>
      </c>
      <c r="Q77" s="4">
        <f>IF($O77=0,"",VLOOKUP($O77,seznam!$A$2:$D$50,4))</f>
      </c>
      <c r="R77" s="4">
        <f>A77</f>
        <v>0</v>
      </c>
      <c r="S77" s="4" t="str">
        <f>IF($R77=0,"bye",VLOOKUP($R77,seznam!$A$2:$C$50,2))</f>
        <v>bye</v>
      </c>
      <c r="T77" s="4">
        <f>IF($R77=0,"",VLOOKUP($R77,seznam!$A$2:$D$50,4))</f>
      </c>
      <c r="U77" s="25"/>
      <c r="V77" s="26"/>
      <c r="W77" s="26"/>
      <c r="X77" s="26"/>
      <c r="Y77" s="27"/>
      <c r="Z77" s="4">
        <f t="shared" si="92"/>
        <v>0</v>
      </c>
      <c r="AA77" s="4">
        <f t="shared" si="93"/>
        <v>0</v>
      </c>
      <c r="AB77" s="4">
        <f t="shared" si="94"/>
        <v>0</v>
      </c>
      <c r="AC77" s="4">
        <f>IF($AB77=0,"",VLOOKUP($AB77,seznam!$A$2:$C$50,2))</f>
      </c>
      <c r="AD77" s="4">
        <f t="shared" si="95"/>
      </c>
      <c r="AE77" s="4">
        <f t="shared" si="96"/>
      </c>
      <c r="AF77" s="4">
        <f t="shared" si="97"/>
        <v>0</v>
      </c>
      <c r="AG77" s="4">
        <f t="shared" si="98"/>
        <v>0</v>
      </c>
      <c r="AI77" s="4">
        <f t="shared" si="99"/>
        <v>0</v>
      </c>
      <c r="AJ77" s="4">
        <f t="shared" si="100"/>
        <v>0</v>
      </c>
      <c r="AK77" s="4">
        <f t="shared" si="101"/>
        <v>0</v>
      </c>
      <c r="AL77" s="4">
        <f t="shared" si="102"/>
        <v>0</v>
      </c>
      <c r="AM77" s="4">
        <f t="shared" si="103"/>
        <v>0</v>
      </c>
    </row>
    <row r="78" spans="11:39" ht="15" customHeight="1" thickTop="1">
      <c r="K78" s="4" t="str">
        <f t="shared" si="90"/>
        <v>bye - bye</v>
      </c>
      <c r="L78" s="4">
        <f t="shared" si="91"/>
      </c>
      <c r="N78" s="4" t="str">
        <f t="shared" si="104"/>
        <v>Dvouhra - Skupina G</v>
      </c>
      <c r="O78" s="4">
        <f>A73</f>
        <v>0</v>
      </c>
      <c r="P78" s="4" t="str">
        <f>IF($O78=0,"bye",VLOOKUP($O78,seznam!$A$2:$C$50,2))</f>
        <v>bye</v>
      </c>
      <c r="Q78" s="4">
        <f>IF($O78=0,"",VLOOKUP($O78,seznam!$A$2:$D$50,4))</f>
      </c>
      <c r="R78" s="4">
        <f>A76</f>
        <v>0</v>
      </c>
      <c r="S78" s="4" t="str">
        <f>IF($R78=0,"bye",VLOOKUP($R78,seznam!$A$2:$C$50,2))</f>
        <v>bye</v>
      </c>
      <c r="T78" s="9"/>
      <c r="U78" s="25"/>
      <c r="V78" s="26"/>
      <c r="W78" s="26"/>
      <c r="X78" s="26"/>
      <c r="Y78" s="27"/>
      <c r="Z78" s="4">
        <f t="shared" si="92"/>
        <v>0</v>
      </c>
      <c r="AA78" s="4">
        <f t="shared" si="93"/>
        <v>0</v>
      </c>
      <c r="AB78" s="4">
        <f t="shared" si="94"/>
        <v>0</v>
      </c>
      <c r="AC78" s="4">
        <f>IF($AB78=0,"",VLOOKUP($AB78,seznam!$A$2:$C$50,2))</f>
      </c>
      <c r="AD78" s="4">
        <f t="shared" si="95"/>
      </c>
      <c r="AE78" s="4">
        <f t="shared" si="96"/>
      </c>
      <c r="AF78" s="4">
        <f t="shared" si="97"/>
        <v>0</v>
      </c>
      <c r="AG78" s="4">
        <f t="shared" si="98"/>
        <v>0</v>
      </c>
      <c r="AI78" s="4">
        <f t="shared" si="99"/>
        <v>0</v>
      </c>
      <c r="AJ78" s="4">
        <f t="shared" si="100"/>
        <v>0</v>
      </c>
      <c r="AK78" s="4">
        <f t="shared" si="101"/>
        <v>0</v>
      </c>
      <c r="AL78" s="4">
        <f t="shared" si="102"/>
        <v>0</v>
      </c>
      <c r="AM78" s="4">
        <f t="shared" si="103"/>
        <v>0</v>
      </c>
    </row>
    <row r="79" spans="11:39" ht="15" customHeight="1">
      <c r="K79" s="4" t="str">
        <f t="shared" si="90"/>
        <v>bye - bye</v>
      </c>
      <c r="L79" s="4">
        <f t="shared" si="91"/>
      </c>
      <c r="N79" s="4" t="str">
        <f t="shared" si="104"/>
        <v>Dvouhra - Skupina G</v>
      </c>
      <c r="O79" s="4">
        <f>A74</f>
        <v>0</v>
      </c>
      <c r="P79" s="4" t="str">
        <f>IF($O79=0,"bye",VLOOKUP($O79,seznam!$A$2:$C$50,2))</f>
        <v>bye</v>
      </c>
      <c r="Q79" s="4">
        <f>IF($O79=0,"",VLOOKUP($O79,seznam!$A$2:$D$50,4))</f>
      </c>
      <c r="R79" s="4">
        <f>A75</f>
        <v>0</v>
      </c>
      <c r="S79" s="4" t="str">
        <f>IF($R79=0,"bye",VLOOKUP($R79,seznam!$A$2:$C$50,2))</f>
        <v>bye</v>
      </c>
      <c r="U79" s="25"/>
      <c r="V79" s="26"/>
      <c r="W79" s="26"/>
      <c r="X79" s="26"/>
      <c r="Y79" s="27"/>
      <c r="Z79" s="4">
        <f t="shared" si="92"/>
        <v>0</v>
      </c>
      <c r="AA79" s="4">
        <f t="shared" si="93"/>
        <v>0</v>
      </c>
      <c r="AB79" s="4">
        <f t="shared" si="94"/>
        <v>0</v>
      </c>
      <c r="AC79" s="4">
        <f>IF($AB79=0,"",VLOOKUP($AB79,seznam!$A$2:$C$50,2))</f>
      </c>
      <c r="AD79" s="4">
        <f t="shared" si="95"/>
      </c>
      <c r="AE79" s="4">
        <f t="shared" si="96"/>
      </c>
      <c r="AF79" s="4">
        <f t="shared" si="97"/>
        <v>0</v>
      </c>
      <c r="AG79" s="4">
        <f t="shared" si="98"/>
        <v>0</v>
      </c>
      <c r="AI79" s="4">
        <f t="shared" si="99"/>
        <v>0</v>
      </c>
      <c r="AJ79" s="4">
        <f t="shared" si="100"/>
        <v>0</v>
      </c>
      <c r="AK79" s="4">
        <f t="shared" si="101"/>
        <v>0</v>
      </c>
      <c r="AL79" s="4">
        <f t="shared" si="102"/>
        <v>0</v>
      </c>
      <c r="AM79" s="4">
        <f t="shared" si="103"/>
        <v>0</v>
      </c>
    </row>
    <row r="80" spans="11:39" ht="15" customHeight="1">
      <c r="K80" s="4" t="str">
        <f t="shared" si="90"/>
        <v>bye - bye</v>
      </c>
      <c r="L80" s="4">
        <f t="shared" si="91"/>
      </c>
      <c r="N80" s="4" t="str">
        <f t="shared" si="104"/>
        <v>Dvouhra - Skupina G</v>
      </c>
      <c r="O80" s="4">
        <f>A76</f>
        <v>0</v>
      </c>
      <c r="P80" s="4" t="str">
        <f>IF($O80=0,"bye",VLOOKUP($O80,seznam!$A$2:$C$50,2))</f>
        <v>bye</v>
      </c>
      <c r="Q80" s="4">
        <f>IF($O80=0,"",VLOOKUP($O80,seznam!$A$2:$D$50,4))</f>
      </c>
      <c r="R80" s="4">
        <f>A74</f>
        <v>0</v>
      </c>
      <c r="S80" s="4" t="str">
        <f>IF($R80=0,"bye",VLOOKUP($R80,seznam!$A$2:$C$50,2))</f>
        <v>bye</v>
      </c>
      <c r="U80" s="25"/>
      <c r="V80" s="26"/>
      <c r="W80" s="26"/>
      <c r="X80" s="26"/>
      <c r="Y80" s="27"/>
      <c r="Z80" s="4">
        <f t="shared" si="92"/>
        <v>0</v>
      </c>
      <c r="AA80" s="4">
        <f t="shared" si="93"/>
        <v>0</v>
      </c>
      <c r="AB80" s="4">
        <f t="shared" si="94"/>
        <v>0</v>
      </c>
      <c r="AC80" s="4">
        <f>IF($AB80=0,"",VLOOKUP($AB80,seznam!$A$2:$C$50,2))</f>
      </c>
      <c r="AD80" s="4">
        <f t="shared" si="95"/>
      </c>
      <c r="AE80" s="4">
        <f t="shared" si="96"/>
      </c>
      <c r="AF80" s="4">
        <f t="shared" si="97"/>
        <v>0</v>
      </c>
      <c r="AG80" s="4">
        <f t="shared" si="98"/>
        <v>0</v>
      </c>
      <c r="AI80" s="4">
        <f t="shared" si="99"/>
        <v>0</v>
      </c>
      <c r="AJ80" s="4">
        <f t="shared" si="100"/>
        <v>0</v>
      </c>
      <c r="AK80" s="4">
        <f t="shared" si="101"/>
        <v>0</v>
      </c>
      <c r="AL80" s="4">
        <f t="shared" si="102"/>
        <v>0</v>
      </c>
      <c r="AM80" s="4">
        <f t="shared" si="103"/>
        <v>0</v>
      </c>
    </row>
    <row r="81" spans="11:39" ht="15" customHeight="1" thickBot="1">
      <c r="K81" s="4" t="str">
        <f t="shared" si="90"/>
        <v>bye - bye</v>
      </c>
      <c r="L81" s="4">
        <f t="shared" si="91"/>
      </c>
      <c r="N81" s="4" t="str">
        <f t="shared" si="104"/>
        <v>Dvouhra - Skupina G</v>
      </c>
      <c r="O81" s="4">
        <f>A77</f>
        <v>0</v>
      </c>
      <c r="P81" s="4" t="str">
        <f>IF($O81=0,"bye",VLOOKUP($O81,seznam!$A$2:$C$50,2))</f>
        <v>bye</v>
      </c>
      <c r="Q81" s="4">
        <f>IF($O81=0,"",VLOOKUP($O81,seznam!$A$2:$D$50,4))</f>
      </c>
      <c r="R81" s="4">
        <f>A73</f>
        <v>0</v>
      </c>
      <c r="S81" s="4" t="str">
        <f>IF($R81=0,"bye",VLOOKUP($R81,seznam!$A$2:$C$50,2))</f>
        <v>bye</v>
      </c>
      <c r="U81" s="38"/>
      <c r="V81" s="39"/>
      <c r="W81" s="39"/>
      <c r="X81" s="39"/>
      <c r="Y81" s="40"/>
      <c r="Z81" s="4">
        <f t="shared" si="92"/>
        <v>0</v>
      </c>
      <c r="AA81" s="4">
        <f t="shared" si="93"/>
        <v>0</v>
      </c>
      <c r="AB81" s="4">
        <f t="shared" si="94"/>
        <v>0</v>
      </c>
      <c r="AC81" s="4">
        <f>IF($AB81=0,"",VLOOKUP($AB81,seznam!$A$2:$C$50,2))</f>
      </c>
      <c r="AD81" s="4">
        <f t="shared" si="95"/>
      </c>
      <c r="AE81" s="4">
        <f t="shared" si="96"/>
      </c>
      <c r="AF81" s="4">
        <f t="shared" si="97"/>
        <v>0</v>
      </c>
      <c r="AG81" s="4">
        <f t="shared" si="98"/>
        <v>0</v>
      </c>
      <c r="AI81" s="4">
        <f t="shared" si="99"/>
        <v>0</v>
      </c>
      <c r="AJ81" s="4">
        <f t="shared" si="100"/>
        <v>0</v>
      </c>
      <c r="AK81" s="4">
        <f t="shared" si="101"/>
        <v>0</v>
      </c>
      <c r="AL81" s="4">
        <f t="shared" si="102"/>
        <v>0</v>
      </c>
      <c r="AM81" s="4">
        <f t="shared" si="103"/>
        <v>0</v>
      </c>
    </row>
    <row r="82" spans="1:28" ht="15" customHeight="1" thickBot="1" thickTop="1">
      <c r="A82" s="3"/>
      <c r="B82" s="3"/>
      <c r="C82" s="5"/>
      <c r="D82" s="3"/>
      <c r="E82" s="3"/>
      <c r="F82" s="3"/>
      <c r="G82" s="3"/>
      <c r="H82" s="7"/>
      <c r="L82" s="8"/>
      <c r="N82" s="9" t="str">
        <f>B83</f>
        <v>Skupina H</v>
      </c>
      <c r="O82" s="9" t="s">
        <v>3</v>
      </c>
      <c r="P82" s="9" t="s">
        <v>46</v>
      </c>
      <c r="Q82" s="9" t="s">
        <v>4</v>
      </c>
      <c r="R82" s="9" t="s">
        <v>3</v>
      </c>
      <c r="S82" s="9" t="s">
        <v>47</v>
      </c>
      <c r="T82" s="9" t="s">
        <v>4</v>
      </c>
      <c r="U82" s="10" t="s">
        <v>5</v>
      </c>
      <c r="V82" s="10" t="s">
        <v>6</v>
      </c>
      <c r="W82" s="10" t="s">
        <v>7</v>
      </c>
      <c r="X82" s="10" t="s">
        <v>8</v>
      </c>
      <c r="Y82" s="10" t="s">
        <v>9</v>
      </c>
      <c r="Z82" s="9" t="s">
        <v>10</v>
      </c>
      <c r="AA82" s="9" t="s">
        <v>11</v>
      </c>
      <c r="AB82" s="9" t="s">
        <v>12</v>
      </c>
    </row>
    <row r="83" spans="1:39" ht="15" customHeight="1" thickBot="1" thickTop="1">
      <c r="A83" s="11"/>
      <c r="B83" s="12" t="s">
        <v>24</v>
      </c>
      <c r="C83" s="13">
        <v>1</v>
      </c>
      <c r="D83" s="14">
        <v>2</v>
      </c>
      <c r="E83" s="14">
        <v>3</v>
      </c>
      <c r="F83" s="41">
        <v>4</v>
      </c>
      <c r="G83" s="15">
        <v>5</v>
      </c>
      <c r="H83" s="16" t="s">
        <v>15</v>
      </c>
      <c r="I83" s="15" t="s">
        <v>16</v>
      </c>
      <c r="K83" s="4" t="str">
        <f aca="true" t="shared" si="105" ref="K83:K92">CONCATENATE(P83," - ",S83)</f>
        <v>bye - bye</v>
      </c>
      <c r="L83" s="4">
        <f aca="true" t="shared" si="106" ref="L83:L92">IF(SUM(Z83:AA83)=0,AE83,CONCATENATE(Z83," : ",AA83," (",U83,",",V83,",",W83,IF(Z83+AA83&gt;3,",",""),X83,IF(Z83+AA83&gt;4,",",""),Y83,")"))</f>
      </c>
      <c r="N83" s="4" t="str">
        <f>CONCATENATE("Dvouhra - Skupina H")</f>
        <v>Dvouhra - Skupina H</v>
      </c>
      <c r="O83" s="4">
        <f>A85</f>
        <v>0</v>
      </c>
      <c r="P83" s="4" t="str">
        <f>IF($O83=0,"bye",VLOOKUP($O83,seznam!$A$2:$C$50,2))</f>
        <v>bye</v>
      </c>
      <c r="Q83" s="4">
        <f>IF($O83=0,"",VLOOKUP($O83,seznam!$A$2:$D$50,4))</f>
      </c>
      <c r="R83" s="4">
        <f>A88</f>
        <v>0</v>
      </c>
      <c r="S83" s="4" t="str">
        <f>IF($R83=0,"bye",VLOOKUP($R83,seznam!$A$2:$C$50,2))</f>
        <v>bye</v>
      </c>
      <c r="T83" s="4">
        <f>IF($R83=0,"",VLOOKUP($R83,seznam!$A$2:$D$50,4))</f>
      </c>
      <c r="U83" s="17"/>
      <c r="V83" s="18"/>
      <c r="W83" s="18"/>
      <c r="X83" s="18"/>
      <c r="Y83" s="19"/>
      <c r="Z83" s="4">
        <f aca="true" t="shared" si="107" ref="Z83:Z92">COUNTIF(AI83:AM83,"&gt;0")</f>
        <v>0</v>
      </c>
      <c r="AA83" s="4">
        <f aca="true" t="shared" si="108" ref="AA83:AA92">COUNTIF(AI83:AM83,"&lt;0")</f>
        <v>0</v>
      </c>
      <c r="AB83" s="4">
        <f aca="true" t="shared" si="109" ref="AB83:AB92">IF(Z83=AA83,0,IF(Z83&gt;AA83,O83,R83))</f>
        <v>0</v>
      </c>
      <c r="AC83" s="4">
        <f>IF($AB83=0,"",VLOOKUP($AB83,seznam!$A$2:$C$50,2))</f>
      </c>
      <c r="AD83" s="4">
        <f aca="true" t="shared" si="110" ref="AD83:AD92">IF(Z83=AA83,"",IF(Z83&gt;AA83,CONCATENATE(Z83,":",AA83," (",U83,",",V83,",",W83,IF(SUM(Z83:AA83)&gt;3,",",""),X83,IF(SUM(Z83:AA83)&gt;4,",",""),Y83,")"),CONCATENATE(AA83,":",Z83," (",-U83,",",-V83,",",-W83,IF(SUM(Z83:AA83)&gt;3,CONCATENATE(",",-X83),""),IF(SUM(Z83:AA83)&gt;4,CONCATENATE(",",-Y83),""),")")))</f>
      </c>
      <c r="AE83" s="4">
        <f aca="true" t="shared" si="111" ref="AE83:AE92">IF(SUM(Z83:AA83)=0,"",AD83)</f>
      </c>
      <c r="AF83" s="4">
        <f aca="true" t="shared" si="112" ref="AF83:AF92">IF(U83="",0,IF(Z83&gt;AA83,2,1))</f>
        <v>0</v>
      </c>
      <c r="AG83" s="4">
        <f aca="true" t="shared" si="113" ref="AG83:AG92">IF(U83="",0,IF(AA83&gt;Z83,2,1))</f>
        <v>0</v>
      </c>
      <c r="AI83" s="4">
        <f aca="true" t="shared" si="114" ref="AI83:AI92">IF(U83="",0,IF(MID(U83,1,1)="-",-1,1))</f>
        <v>0</v>
      </c>
      <c r="AJ83" s="4">
        <f aca="true" t="shared" si="115" ref="AJ83:AJ92">IF(V83="",0,IF(MID(V83,1,1)="-",-1,1))</f>
        <v>0</v>
      </c>
      <c r="AK83" s="4">
        <f aca="true" t="shared" si="116" ref="AK83:AK92">IF(W83="",0,IF(MID(W83,1,1)="-",-1,1))</f>
        <v>0</v>
      </c>
      <c r="AL83" s="4">
        <f aca="true" t="shared" si="117" ref="AL83:AL92">IF(X83="",0,IF(MID(X83,1,1)="-",-1,1))</f>
        <v>0</v>
      </c>
      <c r="AM83" s="4">
        <f aca="true" t="shared" si="118" ref="AM83:AM92">IF(Y83="",0,IF(MID(Y83,1,1)="-",-1,1))</f>
        <v>0</v>
      </c>
    </row>
    <row r="84" spans="1:39" ht="15" customHeight="1" thickTop="1">
      <c r="A84" s="239"/>
      <c r="B84" s="20">
        <f>IF($A84="","",CONCATENATE(VLOOKUP($A84,seznam!$A$2:$B$50,2)," (",VLOOKUP($A84,seznam!$A$2:$E$51,4),")"))</f>
      </c>
      <c r="C84" s="21" t="s">
        <v>17</v>
      </c>
      <c r="D84" s="22">
        <f>IF(Z86+AA86=0,"",CONCATENATE(Z86,":",AA86))</f>
      </c>
      <c r="E84" s="22">
        <f>IF(Z87+AA87=0,"",CONCATENATE(AA87,":",Z87))</f>
      </c>
      <c r="F84" s="22">
        <f>IF(Z89+AA89=0,"",CONCATENATE(Z89,":",AA89))</f>
      </c>
      <c r="G84" s="23">
        <f>IF(Z92+AA92=0,"",CONCATENATE(AA92,":",Z92))</f>
      </c>
      <c r="H84" s="24">
        <f>IF(AF86+AG87+AF89+AG92=0,"",AF86+AG87+AF89+AG92)</f>
      </c>
      <c r="I84" s="23"/>
      <c r="K84" s="4" t="str">
        <f t="shared" si="105"/>
        <v>bye - bye</v>
      </c>
      <c r="L84" s="4">
        <f t="shared" si="106"/>
      </c>
      <c r="N84" s="4" t="str">
        <f aca="true" t="shared" si="119" ref="N84:N92">CONCATENATE("Dvouhra - Skupina H")</f>
        <v>Dvouhra - Skupina H</v>
      </c>
      <c r="O84" s="4">
        <f>A86</f>
        <v>0</v>
      </c>
      <c r="P84" s="4" t="str">
        <f>IF($O84=0,"bye",VLOOKUP($O84,seznam!$A$2:$C$50,2))</f>
        <v>bye</v>
      </c>
      <c r="Q84" s="4">
        <f>IF($O84=0,"",VLOOKUP($O84,seznam!$A$2:$D$50,4))</f>
      </c>
      <c r="R84" s="4">
        <f>A87</f>
        <v>0</v>
      </c>
      <c r="S84" s="4" t="str">
        <f>IF($R84=0,"bye",VLOOKUP($R84,seznam!$A$2:$C$50,2))</f>
        <v>bye</v>
      </c>
      <c r="T84" s="4">
        <f>IF($R84=0,"",VLOOKUP($R84,seznam!$A$2:$D$50,4))</f>
      </c>
      <c r="U84" s="25"/>
      <c r="V84" s="26"/>
      <c r="W84" s="26"/>
      <c r="X84" s="26"/>
      <c r="Y84" s="27"/>
      <c r="Z84" s="4">
        <f t="shared" si="107"/>
        <v>0</v>
      </c>
      <c r="AA84" s="4">
        <f t="shared" si="108"/>
        <v>0</v>
      </c>
      <c r="AB84" s="4">
        <f t="shared" si="109"/>
        <v>0</v>
      </c>
      <c r="AC84" s="4">
        <f>IF($AB84=0,"",VLOOKUP($AB84,seznam!$A$2:$C$50,2))</f>
      </c>
      <c r="AD84" s="4">
        <f t="shared" si="110"/>
      </c>
      <c r="AE84" s="4">
        <f t="shared" si="111"/>
      </c>
      <c r="AF84" s="4">
        <f t="shared" si="112"/>
        <v>0</v>
      </c>
      <c r="AG84" s="4">
        <f t="shared" si="113"/>
        <v>0</v>
      </c>
      <c r="AI84" s="4">
        <f t="shared" si="114"/>
        <v>0</v>
      </c>
      <c r="AJ84" s="4">
        <f t="shared" si="115"/>
        <v>0</v>
      </c>
      <c r="AK84" s="4">
        <f t="shared" si="116"/>
        <v>0</v>
      </c>
      <c r="AL84" s="4">
        <f t="shared" si="117"/>
        <v>0</v>
      </c>
      <c r="AM84" s="4">
        <f t="shared" si="118"/>
        <v>0</v>
      </c>
    </row>
    <row r="85" spans="1:39" ht="15" customHeight="1">
      <c r="A85" s="240"/>
      <c r="B85" s="28">
        <f>IF($A85="","",CONCATENATE(VLOOKUP($A85,seznam!$A$2:$B$50,2)," (",VLOOKUP($A85,seznam!$A$2:$E$51,4),")"))</f>
      </c>
      <c r="C85" s="29">
        <f>IF(Z86+AA86=0,"",CONCATENATE(AA86,":",Z86))</f>
      </c>
      <c r="D85" s="30" t="s">
        <v>17</v>
      </c>
      <c r="E85" s="30">
        <f>IF(Z90+AA90=0,"",CONCATENATE(Z90,":",AA90))</f>
      </c>
      <c r="F85" s="22">
        <f>IF(Z91+AA91=0,"",CONCATENATE(AA91,":",Z91))</f>
      </c>
      <c r="G85" s="31">
        <f>IF(Z83+AA83=0,"",CONCATENATE(Z83,":",AA83))</f>
      </c>
      <c r="H85" s="32">
        <f>IF(AF83+AG86+AF90+AG91=0,"",AF83+AG86+AF90+AG91)</f>
      </c>
      <c r="I85" s="31"/>
      <c r="K85" s="4" t="str">
        <f t="shared" si="105"/>
        <v>bye - bye</v>
      </c>
      <c r="L85" s="4">
        <f t="shared" si="106"/>
      </c>
      <c r="N85" s="4" t="str">
        <f t="shared" si="119"/>
        <v>Dvouhra - Skupina H</v>
      </c>
      <c r="O85" s="4">
        <f>A88</f>
        <v>0</v>
      </c>
      <c r="P85" s="4" t="str">
        <f>IF($O85=0,"bye",VLOOKUP($O85,seznam!$A$2:$C$50,2))</f>
        <v>bye</v>
      </c>
      <c r="Q85" s="4">
        <f>IF($O85=0,"",VLOOKUP($O85,seznam!$A$2:$D$50,4))</f>
      </c>
      <c r="R85" s="4">
        <f>A86</f>
        <v>0</v>
      </c>
      <c r="S85" s="4" t="str">
        <f>IF($R85=0,"bye",VLOOKUP($R85,seznam!$A$2:$C$50,2))</f>
        <v>bye</v>
      </c>
      <c r="T85" s="4">
        <f>IF($R85=0,"",VLOOKUP($R85,seznam!$A$2:$D$50,4))</f>
      </c>
      <c r="U85" s="25"/>
      <c r="V85" s="26"/>
      <c r="W85" s="26"/>
      <c r="X85" s="26"/>
      <c r="Y85" s="27"/>
      <c r="Z85" s="4">
        <f t="shared" si="107"/>
        <v>0</v>
      </c>
      <c r="AA85" s="4">
        <f t="shared" si="108"/>
        <v>0</v>
      </c>
      <c r="AB85" s="4">
        <f t="shared" si="109"/>
        <v>0</v>
      </c>
      <c r="AC85" s="4">
        <f>IF($AB85=0,"",VLOOKUP($AB85,seznam!$A$2:$C$50,2))</f>
      </c>
      <c r="AD85" s="4">
        <f t="shared" si="110"/>
      </c>
      <c r="AE85" s="4">
        <f t="shared" si="111"/>
      </c>
      <c r="AF85" s="4">
        <f t="shared" si="112"/>
        <v>0</v>
      </c>
      <c r="AG85" s="4">
        <f t="shared" si="113"/>
        <v>0</v>
      </c>
      <c r="AI85" s="4">
        <f t="shared" si="114"/>
        <v>0</v>
      </c>
      <c r="AJ85" s="4">
        <f t="shared" si="115"/>
        <v>0</v>
      </c>
      <c r="AK85" s="4">
        <f t="shared" si="116"/>
        <v>0</v>
      </c>
      <c r="AL85" s="4">
        <f t="shared" si="117"/>
        <v>0</v>
      </c>
      <c r="AM85" s="4">
        <f t="shared" si="118"/>
        <v>0</v>
      </c>
    </row>
    <row r="86" spans="1:39" ht="15" customHeight="1">
      <c r="A86" s="240"/>
      <c r="B86" s="28">
        <f>IF($A86="","",CONCATENATE(VLOOKUP($A86,seznam!$A$2:$B$50,2)," (",VLOOKUP($A86,seznam!$A$2:$E$51,4),")"))</f>
      </c>
      <c r="C86" s="29">
        <f>IF(Z87+AA87=0,"",CONCATENATE(Z87,":",AA87))</f>
      </c>
      <c r="D86" s="30">
        <f>IF(Z90+AA90=0,"",CONCATENATE(AA90,":",Z90))</f>
      </c>
      <c r="E86" s="30" t="s">
        <v>17</v>
      </c>
      <c r="F86" s="22">
        <f>IF(Z84+AA84=0,"",CONCATENATE(Z84,":",AA84))</f>
      </c>
      <c r="G86" s="31">
        <f>IF(Z85+AA85=0,"",CONCATENATE(AA85,":",Z85))</f>
      </c>
      <c r="H86" s="32">
        <f>IF(AF84+AG85+AF87+AG90=0,"",AF84+AG85+AF87+AG90)</f>
      </c>
      <c r="I86" s="31"/>
      <c r="K86" s="4" t="str">
        <f t="shared" si="105"/>
        <v>bye - bye</v>
      </c>
      <c r="L86" s="4">
        <f t="shared" si="106"/>
      </c>
      <c r="N86" s="4" t="str">
        <f t="shared" si="119"/>
        <v>Dvouhra - Skupina H</v>
      </c>
      <c r="O86" s="4">
        <f>A84</f>
        <v>0</v>
      </c>
      <c r="P86" s="4" t="str">
        <f>IF($O86=0,"bye",VLOOKUP($O86,seznam!$A$2:$C$50,2))</f>
        <v>bye</v>
      </c>
      <c r="Q86" s="4">
        <f>IF($O86=0,"",VLOOKUP($O86,seznam!$A$2:$D$50,4))</f>
      </c>
      <c r="R86" s="4">
        <f>A85</f>
        <v>0</v>
      </c>
      <c r="S86" s="4" t="str">
        <f>IF($R86=0,"bye",VLOOKUP($R86,seznam!$A$2:$C$50,2))</f>
        <v>bye</v>
      </c>
      <c r="T86" s="4">
        <f>IF($R86=0,"",VLOOKUP($R86,seznam!$A$2:$D$50,4))</f>
      </c>
      <c r="U86" s="25"/>
      <c r="V86" s="26"/>
      <c r="W86" s="26"/>
      <c r="X86" s="26"/>
      <c r="Y86" s="27"/>
      <c r="Z86" s="4">
        <f t="shared" si="107"/>
        <v>0</v>
      </c>
      <c r="AA86" s="4">
        <f t="shared" si="108"/>
        <v>0</v>
      </c>
      <c r="AB86" s="4">
        <f t="shared" si="109"/>
        <v>0</v>
      </c>
      <c r="AC86" s="4">
        <f>IF($AB86=0,"",VLOOKUP($AB86,seznam!$A$2:$C$50,2))</f>
      </c>
      <c r="AD86" s="4">
        <f t="shared" si="110"/>
      </c>
      <c r="AE86" s="4">
        <f t="shared" si="111"/>
      </c>
      <c r="AF86" s="4">
        <f t="shared" si="112"/>
        <v>0</v>
      </c>
      <c r="AG86" s="4">
        <f t="shared" si="113"/>
        <v>0</v>
      </c>
      <c r="AI86" s="4">
        <f t="shared" si="114"/>
        <v>0</v>
      </c>
      <c r="AJ86" s="4">
        <f t="shared" si="115"/>
        <v>0</v>
      </c>
      <c r="AK86" s="4">
        <f t="shared" si="116"/>
        <v>0</v>
      </c>
      <c r="AL86" s="4">
        <f t="shared" si="117"/>
        <v>0</v>
      </c>
      <c r="AM86" s="4">
        <f t="shared" si="118"/>
        <v>0</v>
      </c>
    </row>
    <row r="87" spans="1:39" ht="15" customHeight="1">
      <c r="A87" s="242"/>
      <c r="B87" s="28">
        <f>IF($A87="","",CONCATENATE(VLOOKUP($A87,seznam!$A$2:$B$50,2)," (",VLOOKUP($A87,seznam!$A$2:$E$51,4),")"))</f>
      </c>
      <c r="C87" s="29">
        <f>IF(Z89+AA89=0,"",CONCATENATE(AA89,":",Z89))</f>
      </c>
      <c r="D87" s="30">
        <f>IF(Z91+AA91=0,"",CONCATENATE(Z91,":",AA91))</f>
      </c>
      <c r="E87" s="30">
        <f>IF(Z84+AA84=0,"",CONCATENATE(AA84,":",Z84))</f>
      </c>
      <c r="F87" s="30" t="s">
        <v>17</v>
      </c>
      <c r="G87" s="31">
        <f>IF(Z88+AA88=0,"",CONCATENATE(Z88,":",AA88))</f>
      </c>
      <c r="H87" s="32">
        <f>IF(AG84+AF88+AG89+AF91=0,"",AG84+AF88+AG89+AF91)</f>
      </c>
      <c r="I87" s="42"/>
      <c r="K87" s="4" t="str">
        <f t="shared" si="105"/>
        <v>bye - bye</v>
      </c>
      <c r="L87" s="4">
        <f t="shared" si="106"/>
      </c>
      <c r="N87" s="4" t="str">
        <f t="shared" si="119"/>
        <v>Dvouhra - Skupina H</v>
      </c>
      <c r="O87" s="4">
        <f>A86</f>
        <v>0</v>
      </c>
      <c r="P87" s="4" t="str">
        <f>IF($O87=0,"bye",VLOOKUP($O87,seznam!$A$2:$C$50,2))</f>
        <v>bye</v>
      </c>
      <c r="Q87" s="4">
        <f>IF($O87=0,"",VLOOKUP($O87,seznam!$A$2:$D$50,4))</f>
      </c>
      <c r="R87" s="4">
        <f>A84</f>
        <v>0</v>
      </c>
      <c r="S87" s="4" t="str">
        <f>IF($R87=0,"bye",VLOOKUP($R87,seznam!$A$2:$C$50,2))</f>
        <v>bye</v>
      </c>
      <c r="T87" s="4">
        <f>IF($R87=0,"",VLOOKUP($R87,seznam!$A$2:$D$50,4))</f>
      </c>
      <c r="U87" s="25"/>
      <c r="V87" s="26"/>
      <c r="W87" s="26"/>
      <c r="X87" s="26"/>
      <c r="Y87" s="27"/>
      <c r="Z87" s="4">
        <f t="shared" si="107"/>
        <v>0</v>
      </c>
      <c r="AA87" s="4">
        <f t="shared" si="108"/>
        <v>0</v>
      </c>
      <c r="AB87" s="4">
        <f t="shared" si="109"/>
        <v>0</v>
      </c>
      <c r="AC87" s="4">
        <f>IF($AB87=0,"",VLOOKUP($AB87,seznam!$A$2:$C$50,2))</f>
      </c>
      <c r="AD87" s="4">
        <f t="shared" si="110"/>
      </c>
      <c r="AE87" s="4">
        <f t="shared" si="111"/>
      </c>
      <c r="AF87" s="4">
        <f t="shared" si="112"/>
        <v>0</v>
      </c>
      <c r="AG87" s="4">
        <f t="shared" si="113"/>
        <v>0</v>
      </c>
      <c r="AI87" s="4">
        <f t="shared" si="114"/>
        <v>0</v>
      </c>
      <c r="AJ87" s="4">
        <f t="shared" si="115"/>
        <v>0</v>
      </c>
      <c r="AK87" s="4">
        <f t="shared" si="116"/>
        <v>0</v>
      </c>
      <c r="AL87" s="4">
        <f t="shared" si="117"/>
        <v>0</v>
      </c>
      <c r="AM87" s="4">
        <f t="shared" si="118"/>
        <v>0</v>
      </c>
    </row>
    <row r="88" spans="1:39" ht="15" customHeight="1" thickBot="1">
      <c r="A88" s="241"/>
      <c r="B88" s="33">
        <f>IF($A88="","",CONCATENATE(VLOOKUP($A88,seznam!$A$2:$B$50,2)," (",VLOOKUP($A88,seznam!$A$2:$E$51,4),")"))</f>
      </c>
      <c r="C88" s="34">
        <f>IF(Z92+AA92=0,"",CONCATENATE(Z92,":",AA92))</f>
      </c>
      <c r="D88" s="35">
        <f>IF(Z83+AA83=0,"",CONCATENATE(AA83,":",Z83))</f>
      </c>
      <c r="E88" s="35">
        <f>IF(Z85+AA85=0,"",CONCATENATE(Z85,":",AA85))</f>
      </c>
      <c r="F88" s="43">
        <f>IF(Z88+AA88=0,"",CONCATENATE(AA88,":",Z88))</f>
      </c>
      <c r="G88" s="36" t="s">
        <v>17</v>
      </c>
      <c r="H88" s="37">
        <f>IF(AG83+AF85+AG88+AF92=0,"",AG83+AF85+AG88+AF92)</f>
      </c>
      <c r="I88" s="36"/>
      <c r="K88" s="4" t="str">
        <f t="shared" si="105"/>
        <v>bye - bye</v>
      </c>
      <c r="L88" s="4">
        <f t="shared" si="106"/>
      </c>
      <c r="N88" s="4" t="str">
        <f t="shared" si="119"/>
        <v>Dvouhra - Skupina H</v>
      </c>
      <c r="O88" s="4">
        <f>A87</f>
        <v>0</v>
      </c>
      <c r="P88" s="4" t="str">
        <f>IF($O88=0,"bye",VLOOKUP($O88,seznam!$A$2:$C$50,2))</f>
        <v>bye</v>
      </c>
      <c r="Q88" s="4">
        <f>IF($O88=0,"",VLOOKUP($O88,seznam!$A$2:$D$50,4))</f>
      </c>
      <c r="R88" s="4">
        <f>A88</f>
        <v>0</v>
      </c>
      <c r="S88" s="4" t="str">
        <f>IF($R88=0,"bye",VLOOKUP($R88,seznam!$A$2:$C$50,2))</f>
        <v>bye</v>
      </c>
      <c r="T88" s="4">
        <f>IF($R88=0,"",VLOOKUP($R88,seznam!$A$2:$D$50,4))</f>
      </c>
      <c r="U88" s="25"/>
      <c r="V88" s="26"/>
      <c r="W88" s="26"/>
      <c r="X88" s="26"/>
      <c r="Y88" s="27"/>
      <c r="Z88" s="4">
        <f t="shared" si="107"/>
        <v>0</v>
      </c>
      <c r="AA88" s="4">
        <f t="shared" si="108"/>
        <v>0</v>
      </c>
      <c r="AB88" s="4">
        <f t="shared" si="109"/>
        <v>0</v>
      </c>
      <c r="AC88" s="4">
        <f>IF($AB88=0,"",VLOOKUP($AB88,seznam!$A$2:$C$50,2))</f>
      </c>
      <c r="AD88" s="4">
        <f t="shared" si="110"/>
      </c>
      <c r="AE88" s="4">
        <f t="shared" si="111"/>
      </c>
      <c r="AF88" s="4">
        <f t="shared" si="112"/>
        <v>0</v>
      </c>
      <c r="AG88" s="4">
        <f t="shared" si="113"/>
        <v>0</v>
      </c>
      <c r="AI88" s="4">
        <f t="shared" si="114"/>
        <v>0</v>
      </c>
      <c r="AJ88" s="4">
        <f t="shared" si="115"/>
        <v>0</v>
      </c>
      <c r="AK88" s="4">
        <f t="shared" si="116"/>
        <v>0</v>
      </c>
      <c r="AL88" s="4">
        <f t="shared" si="117"/>
        <v>0</v>
      </c>
      <c r="AM88" s="4">
        <f t="shared" si="118"/>
        <v>0</v>
      </c>
    </row>
    <row r="89" spans="11:39" ht="15" customHeight="1" thickTop="1">
      <c r="K89" s="4" t="str">
        <f t="shared" si="105"/>
        <v>bye - bye</v>
      </c>
      <c r="L89" s="4">
        <f t="shared" si="106"/>
      </c>
      <c r="N89" s="4" t="str">
        <f t="shared" si="119"/>
        <v>Dvouhra - Skupina H</v>
      </c>
      <c r="O89" s="4">
        <f>A84</f>
        <v>0</v>
      </c>
      <c r="P89" s="4" t="str">
        <f>IF($O89=0,"bye",VLOOKUP($O89,seznam!$A$2:$C$50,2))</f>
        <v>bye</v>
      </c>
      <c r="Q89" s="4">
        <f>IF($O89=0,"",VLOOKUP($O89,seznam!$A$2:$D$50,4))</f>
      </c>
      <c r="R89" s="4">
        <f>A87</f>
        <v>0</v>
      </c>
      <c r="S89" s="4" t="str">
        <f>IF($R89=0,"bye",VLOOKUP($R89,seznam!$A$2:$C$50,2))</f>
        <v>bye</v>
      </c>
      <c r="T89" s="9"/>
      <c r="U89" s="25"/>
      <c r="V89" s="26"/>
      <c r="W89" s="26"/>
      <c r="X89" s="26"/>
      <c r="Y89" s="27"/>
      <c r="Z89" s="4">
        <f t="shared" si="107"/>
        <v>0</v>
      </c>
      <c r="AA89" s="4">
        <f t="shared" si="108"/>
        <v>0</v>
      </c>
      <c r="AB89" s="4">
        <f t="shared" si="109"/>
        <v>0</v>
      </c>
      <c r="AC89" s="4">
        <f>IF($AB89=0,"",VLOOKUP($AB89,seznam!$A$2:$C$50,2))</f>
      </c>
      <c r="AD89" s="4">
        <f t="shared" si="110"/>
      </c>
      <c r="AE89" s="4">
        <f t="shared" si="111"/>
      </c>
      <c r="AF89" s="4">
        <f t="shared" si="112"/>
        <v>0</v>
      </c>
      <c r="AG89" s="4">
        <f t="shared" si="113"/>
        <v>0</v>
      </c>
      <c r="AI89" s="4">
        <f t="shared" si="114"/>
        <v>0</v>
      </c>
      <c r="AJ89" s="4">
        <f t="shared" si="115"/>
        <v>0</v>
      </c>
      <c r="AK89" s="4">
        <f t="shared" si="116"/>
        <v>0</v>
      </c>
      <c r="AL89" s="4">
        <f t="shared" si="117"/>
        <v>0</v>
      </c>
      <c r="AM89" s="4">
        <f t="shared" si="118"/>
        <v>0</v>
      </c>
    </row>
    <row r="90" spans="11:39" ht="15" customHeight="1">
      <c r="K90" s="4" t="str">
        <f t="shared" si="105"/>
        <v>bye - bye</v>
      </c>
      <c r="L90" s="4">
        <f t="shared" si="106"/>
      </c>
      <c r="N90" s="4" t="str">
        <f t="shared" si="119"/>
        <v>Dvouhra - Skupina H</v>
      </c>
      <c r="O90" s="4">
        <f>A85</f>
        <v>0</v>
      </c>
      <c r="P90" s="4" t="str">
        <f>IF($O90=0,"bye",VLOOKUP($O90,seznam!$A$2:$C$50,2))</f>
        <v>bye</v>
      </c>
      <c r="Q90" s="4">
        <f>IF($O90=0,"",VLOOKUP($O90,seznam!$A$2:$D$50,4))</f>
      </c>
      <c r="R90" s="4">
        <f>A86</f>
        <v>0</v>
      </c>
      <c r="S90" s="4" t="str">
        <f>IF($R90=0,"bye",VLOOKUP($R90,seznam!$A$2:$C$50,2))</f>
        <v>bye</v>
      </c>
      <c r="U90" s="25"/>
      <c r="V90" s="26"/>
      <c r="W90" s="26"/>
      <c r="X90" s="26"/>
      <c r="Y90" s="27"/>
      <c r="Z90" s="4">
        <f t="shared" si="107"/>
        <v>0</v>
      </c>
      <c r="AA90" s="4">
        <f t="shared" si="108"/>
        <v>0</v>
      </c>
      <c r="AB90" s="4">
        <f t="shared" si="109"/>
        <v>0</v>
      </c>
      <c r="AC90" s="4">
        <f>IF($AB90=0,"",VLOOKUP($AB90,seznam!$A$2:$C$50,2))</f>
      </c>
      <c r="AD90" s="4">
        <f t="shared" si="110"/>
      </c>
      <c r="AE90" s="4">
        <f t="shared" si="111"/>
      </c>
      <c r="AF90" s="4">
        <f t="shared" si="112"/>
        <v>0</v>
      </c>
      <c r="AG90" s="4">
        <f t="shared" si="113"/>
        <v>0</v>
      </c>
      <c r="AI90" s="4">
        <f t="shared" si="114"/>
        <v>0</v>
      </c>
      <c r="AJ90" s="4">
        <f t="shared" si="115"/>
        <v>0</v>
      </c>
      <c r="AK90" s="4">
        <f t="shared" si="116"/>
        <v>0</v>
      </c>
      <c r="AL90" s="4">
        <f t="shared" si="117"/>
        <v>0</v>
      </c>
      <c r="AM90" s="4">
        <f t="shared" si="118"/>
        <v>0</v>
      </c>
    </row>
    <row r="91" spans="11:39" ht="15" customHeight="1">
      <c r="K91" s="4" t="str">
        <f t="shared" si="105"/>
        <v>bye - bye</v>
      </c>
      <c r="L91" s="4">
        <f t="shared" si="106"/>
      </c>
      <c r="N91" s="4" t="str">
        <f t="shared" si="119"/>
        <v>Dvouhra - Skupina H</v>
      </c>
      <c r="O91" s="4">
        <f>A87</f>
        <v>0</v>
      </c>
      <c r="P91" s="4" t="str">
        <f>IF($O91=0,"bye",VLOOKUP($O91,seznam!$A$2:$C$50,2))</f>
        <v>bye</v>
      </c>
      <c r="Q91" s="4">
        <f>IF($O91=0,"",VLOOKUP($O91,seznam!$A$2:$D$50,4))</f>
      </c>
      <c r="R91" s="4">
        <f>A85</f>
        <v>0</v>
      </c>
      <c r="S91" s="4" t="str">
        <f>IF($R91=0,"bye",VLOOKUP($R91,seznam!$A$2:$C$50,2))</f>
        <v>bye</v>
      </c>
      <c r="U91" s="25"/>
      <c r="V91" s="26"/>
      <c r="W91" s="26"/>
      <c r="X91" s="26"/>
      <c r="Y91" s="27"/>
      <c r="Z91" s="4">
        <f t="shared" si="107"/>
        <v>0</v>
      </c>
      <c r="AA91" s="4">
        <f t="shared" si="108"/>
        <v>0</v>
      </c>
      <c r="AB91" s="4">
        <f t="shared" si="109"/>
        <v>0</v>
      </c>
      <c r="AC91" s="4">
        <f>IF($AB91=0,"",VLOOKUP($AB91,seznam!$A$2:$C$50,2))</f>
      </c>
      <c r="AD91" s="4">
        <f t="shared" si="110"/>
      </c>
      <c r="AE91" s="4">
        <f t="shared" si="111"/>
      </c>
      <c r="AF91" s="4">
        <f t="shared" si="112"/>
        <v>0</v>
      </c>
      <c r="AG91" s="4">
        <f t="shared" si="113"/>
        <v>0</v>
      </c>
      <c r="AI91" s="4">
        <f t="shared" si="114"/>
        <v>0</v>
      </c>
      <c r="AJ91" s="4">
        <f t="shared" si="115"/>
        <v>0</v>
      </c>
      <c r="AK91" s="4">
        <f t="shared" si="116"/>
        <v>0</v>
      </c>
      <c r="AL91" s="4">
        <f t="shared" si="117"/>
        <v>0</v>
      </c>
      <c r="AM91" s="4">
        <f t="shared" si="118"/>
        <v>0</v>
      </c>
    </row>
    <row r="92" spans="11:39" ht="15" customHeight="1" thickBot="1">
      <c r="K92" s="4" t="str">
        <f t="shared" si="105"/>
        <v>bye - bye</v>
      </c>
      <c r="L92" s="4">
        <f t="shared" si="106"/>
      </c>
      <c r="N92" s="4" t="str">
        <f t="shared" si="119"/>
        <v>Dvouhra - Skupina H</v>
      </c>
      <c r="O92" s="4">
        <f>A88</f>
        <v>0</v>
      </c>
      <c r="P92" s="4" t="str">
        <f>IF($O92=0,"bye",VLOOKUP($O92,seznam!$A$2:$C$50,2))</f>
        <v>bye</v>
      </c>
      <c r="Q92" s="4">
        <f>IF($O92=0,"",VLOOKUP($O92,seznam!$A$2:$D$50,4))</f>
      </c>
      <c r="R92" s="4">
        <f>A84</f>
        <v>0</v>
      </c>
      <c r="S92" s="4" t="str">
        <f>IF($R92=0,"bye",VLOOKUP($R92,seznam!$A$2:$C$50,2))</f>
        <v>bye</v>
      </c>
      <c r="U92" s="38"/>
      <c r="V92" s="39"/>
      <c r="W92" s="39"/>
      <c r="X92" s="39"/>
      <c r="Y92" s="40"/>
      <c r="Z92" s="4">
        <f t="shared" si="107"/>
        <v>0</v>
      </c>
      <c r="AA92" s="4">
        <f t="shared" si="108"/>
        <v>0</v>
      </c>
      <c r="AB92" s="4">
        <f t="shared" si="109"/>
        <v>0</v>
      </c>
      <c r="AC92" s="4">
        <f>IF($AB92=0,"",VLOOKUP($AB92,seznam!$A$2:$C$50,2))</f>
      </c>
      <c r="AD92" s="4">
        <f t="shared" si="110"/>
      </c>
      <c r="AE92" s="4">
        <f t="shared" si="111"/>
      </c>
      <c r="AF92" s="4">
        <f t="shared" si="112"/>
        <v>0</v>
      </c>
      <c r="AG92" s="4">
        <f t="shared" si="113"/>
        <v>0</v>
      </c>
      <c r="AI92" s="4">
        <f t="shared" si="114"/>
        <v>0</v>
      </c>
      <c r="AJ92" s="4">
        <f t="shared" si="115"/>
        <v>0</v>
      </c>
      <c r="AK92" s="4">
        <f t="shared" si="116"/>
        <v>0</v>
      </c>
      <c r="AL92" s="4">
        <f t="shared" si="117"/>
        <v>0</v>
      </c>
      <c r="AM92" s="4">
        <f t="shared" si="118"/>
        <v>0</v>
      </c>
    </row>
    <row r="93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fitToHeight="0" horizontalDpi="300" verticalDpi="300" orientation="landscape" paperSize="9" scale="72" r:id="rId2"/>
  <rowBreaks count="1" manualBreakCount="1">
    <brk id="46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375" style="4" customWidth="1"/>
    <col min="2" max="2" width="31.125" style="4" customWidth="1"/>
    <col min="3" max="10" width="4.875" style="4" customWidth="1"/>
    <col min="11" max="11" width="6.25390625" style="200" customWidth="1"/>
    <col min="12" max="12" width="27.75390625" style="4" customWidth="1"/>
    <col min="13" max="13" width="15.375" style="4" bestFit="1" customWidth="1"/>
    <col min="14" max="14" width="5.25390625" style="4" customWidth="1"/>
    <col min="15" max="15" width="14.375" style="4" customWidth="1"/>
    <col min="16" max="16" width="5.25390625" style="4" customWidth="1"/>
    <col min="17" max="17" width="4.75390625" style="4" customWidth="1"/>
    <col min="18" max="18" width="14.375" style="4" customWidth="1"/>
    <col min="19" max="19" width="4.375" style="4" bestFit="1" customWidth="1"/>
    <col min="20" max="24" width="5.00390625" style="4" customWidth="1"/>
    <col min="25" max="26" width="5.125" style="4" customWidth="1"/>
    <col min="27" max="27" width="5.625" style="4" customWidth="1"/>
    <col min="28" max="28" width="4.375" style="4" customWidth="1"/>
    <col min="29" max="29" width="11.875" style="4" bestFit="1" customWidth="1"/>
    <col min="30" max="31" width="3.125" style="4" customWidth="1"/>
    <col min="32" max="32" width="1.875" style="4" customWidth="1"/>
    <col min="33" max="37" width="3.125" style="4" customWidth="1"/>
    <col min="38" max="38" width="3.00390625" style="4" customWidth="1"/>
    <col min="39" max="16384" width="9.125" style="4" customWidth="1"/>
  </cols>
  <sheetData>
    <row r="1" spans="1:12" ht="16.5" customHeight="1">
      <c r="A1" s="3"/>
      <c r="B1" s="2"/>
      <c r="C1" s="3"/>
      <c r="D1" s="3"/>
      <c r="E1" s="3"/>
      <c r="F1" s="3"/>
      <c r="G1" s="131"/>
      <c r="H1" s="131"/>
      <c r="I1" s="131"/>
      <c r="J1" s="131"/>
      <c r="L1" s="54" t="str">
        <f>CONCATENATE("Dvouhra - ",seznam!G2)</f>
        <v>Dvouhra - Zimní cena Jižního Města nejmladšího žactva</v>
      </c>
    </row>
    <row r="2" spans="1:12" ht="16.5" customHeight="1">
      <c r="A2" s="3"/>
      <c r="B2" s="5"/>
      <c r="C2" s="3"/>
      <c r="D2" s="3"/>
      <c r="E2" s="3"/>
      <c r="F2" s="3"/>
      <c r="G2" s="129"/>
      <c r="H2" s="129"/>
      <c r="I2" s="129"/>
      <c r="J2" s="129"/>
      <c r="L2" s="97">
        <f>seznam!H2</f>
        <v>41336</v>
      </c>
    </row>
    <row r="3" spans="1:10" ht="16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27" ht="16.5" customHeight="1" thickBot="1">
      <c r="A4" s="3"/>
      <c r="B4" s="3"/>
      <c r="C4" s="5"/>
      <c r="D4" s="3"/>
      <c r="E4" s="3"/>
      <c r="F4" s="3"/>
      <c r="G4" s="3"/>
      <c r="H4" s="3"/>
      <c r="I4" s="7"/>
      <c r="M4" s="100" t="str">
        <f>B5</f>
        <v>Skupina A</v>
      </c>
      <c r="N4" s="100" t="s">
        <v>3</v>
      </c>
      <c r="O4" s="100" t="s">
        <v>46</v>
      </c>
      <c r="P4" s="100" t="s">
        <v>4</v>
      </c>
      <c r="Q4" s="100" t="s">
        <v>3</v>
      </c>
      <c r="R4" s="100" t="s">
        <v>53</v>
      </c>
      <c r="S4" s="100" t="s">
        <v>4</v>
      </c>
      <c r="T4" s="101" t="s">
        <v>5</v>
      </c>
      <c r="U4" s="101" t="s">
        <v>6</v>
      </c>
      <c r="V4" s="101" t="s">
        <v>7</v>
      </c>
      <c r="W4" s="101" t="s">
        <v>8</v>
      </c>
      <c r="X4" s="101" t="s">
        <v>9</v>
      </c>
      <c r="Y4" s="100" t="s">
        <v>10</v>
      </c>
      <c r="Z4" s="100" t="s">
        <v>11</v>
      </c>
      <c r="AA4" s="100" t="s">
        <v>12</v>
      </c>
    </row>
    <row r="5" spans="1:37" ht="16.5" customHeight="1" thickBot="1" thickTop="1">
      <c r="A5" s="102"/>
      <c r="B5" s="103" t="s">
        <v>14</v>
      </c>
      <c r="C5" s="186">
        <v>1</v>
      </c>
      <c r="D5" s="187">
        <v>2</v>
      </c>
      <c r="E5" s="187">
        <v>3</v>
      </c>
      <c r="F5" s="188">
        <v>4</v>
      </c>
      <c r="G5" s="188">
        <v>5</v>
      </c>
      <c r="H5" s="189">
        <v>6</v>
      </c>
      <c r="I5" s="104" t="s">
        <v>15</v>
      </c>
      <c r="J5" s="107" t="s">
        <v>16</v>
      </c>
      <c r="K5" s="199" t="s">
        <v>48</v>
      </c>
      <c r="L5" s="4" t="str">
        <f aca="true" t="shared" si="0" ref="L5:L19">CONCATENATE(O5," - ",R5)</f>
        <v>bye - bye</v>
      </c>
      <c r="M5" s="4" t="str">
        <f>CONCATENATE("Dvouhra - Skupina A")</f>
        <v>Dvouhra - Skupina A</v>
      </c>
      <c r="N5" s="4">
        <f>A6</f>
        <v>0</v>
      </c>
      <c r="O5" s="4" t="str">
        <f>IF($N5=0,"bye",VLOOKUP($N5,seznam!$A$2:$C$40,2,FALSE))</f>
        <v>bye</v>
      </c>
      <c r="P5" s="4">
        <f>IF($N5=0,"",VLOOKUP($N5,seznam!$A$2:$D$40,4,FALSE))</f>
      </c>
      <c r="Q5" s="4">
        <f>A11</f>
        <v>0</v>
      </c>
      <c r="R5" s="4" t="str">
        <f>IF($Q5=0,"bye",VLOOKUP($Q5,seznam!$A$2:$C$40,2,FALSE))</f>
        <v>bye</v>
      </c>
      <c r="S5" s="4">
        <f>IF($Q5=0,"",VLOOKUP($Q5,seznam!$A$2:$D$40,4,FALSE))</f>
      </c>
      <c r="T5" s="109"/>
      <c r="U5" s="110"/>
      <c r="V5" s="110"/>
      <c r="W5" s="110"/>
      <c r="X5" s="111"/>
      <c r="Y5" s="4">
        <f aca="true" t="shared" si="1" ref="Y5:Y19">COUNTIF(AG5:AK5,"&gt;0")</f>
        <v>0</v>
      </c>
      <c r="Z5" s="4">
        <f aca="true" t="shared" si="2" ref="Z5:Z19">COUNTIF(AG5:AK5,"&lt;0")</f>
        <v>0</v>
      </c>
      <c r="AA5" s="4">
        <f aca="true" t="shared" si="3" ref="AA5:AA19">IF(Y5=Z5,0,IF(Y5&gt;Z5,N5,Q5))</f>
        <v>0</v>
      </c>
      <c r="AB5" s="4">
        <f>IF($AA5=0,"",VLOOKUP($AA5,seznam!$A$2:$C$40,2,FALSE))</f>
      </c>
      <c r="AC5" s="4">
        <f aca="true" t="shared" si="4" ref="AC5:AC19">IF(Y5=Z5,"",IF(Y5&gt;Z5,CONCATENATE(Y5,":",Z5," (",T5,",",U5,",",V5,IF(SUM(Y5:Z5)&gt;3,",",""),W5,IF(SUM(Y5:Z5)&gt;4,",",""),X5,")"),CONCATENATE(Z5,":",Y5," (",-T5,",",-U5,",",-V5,IF(SUM(Y5:Z5)&gt;3,CONCATENATE(",",-W5),""),IF(SUM(Y5:Z5)&gt;4,CONCATENATE(",",-X5),""),")")))</f>
      </c>
      <c r="AD5" s="4">
        <f aca="true" t="shared" si="5" ref="AD5:AD19">IF(T5="",0,IF(Y5&gt;Z5,2,1))</f>
        <v>0</v>
      </c>
      <c r="AE5" s="4">
        <f aca="true" t="shared" si="6" ref="AE5:AE19">IF(T5="",0,IF(Z5&gt;Y5,2,1))</f>
        <v>0</v>
      </c>
      <c r="AG5" s="4">
        <f aca="true" t="shared" si="7" ref="AG5:AG19">IF(T5="",0,IF(MID(T5,1,1)="-",-1,1))</f>
        <v>0</v>
      </c>
      <c r="AH5" s="4">
        <f aca="true" t="shared" si="8" ref="AH5:AH19">IF(U5="",0,IF(MID(U5,1,1)="-",-1,1))</f>
        <v>0</v>
      </c>
      <c r="AI5" s="4">
        <f aca="true" t="shared" si="9" ref="AI5:AI19">IF(V5="",0,IF(MID(V5,1,1)="-",-1,1))</f>
        <v>0</v>
      </c>
      <c r="AJ5" s="4">
        <f aca="true" t="shared" si="10" ref="AJ5:AJ19">IF(W5="",0,IF(MID(W5,1,1)="-",-1,1))</f>
        <v>0</v>
      </c>
      <c r="AK5" s="4">
        <f aca="true" t="shared" si="11" ref="AK5:AK19">IF(X5="",0,IF(MID(X5,1,1)="-",-1,1))</f>
        <v>0</v>
      </c>
    </row>
    <row r="6" spans="1:37" ht="16.5" customHeight="1" thickTop="1">
      <c r="A6" s="243"/>
      <c r="B6" s="202">
        <f>IF($A6="","",CONCATENATE(VLOOKUP($A6,seznam!$A$2:$B$40,2,FALSE)," (",VLOOKUP($A6,seznam!$A$2:$H$40,5,FALSE),")"))</f>
      </c>
      <c r="C6" s="203" t="s">
        <v>17</v>
      </c>
      <c r="D6" s="205">
        <f>IF(Y10+Z10=0,"",CONCATENATE(Z10,":",Y10))</f>
      </c>
      <c r="E6" s="205">
        <f>IF(Z12+Y12=0,"",CONCATENATE(Y12,":",Z12))</f>
      </c>
      <c r="F6" s="205">
        <f>IF(Y15+Z15=0,"",CONCATENATE(Z15,":",Y15))</f>
      </c>
      <c r="G6" s="205">
        <f>IF(Z19+Y19=0,"",CONCATENATE(Y19,":",Z19))</f>
      </c>
      <c r="H6" s="206">
        <f>IF(Y5+Z5=0,"",CONCATENATE(Z5,":",Y5))</f>
      </c>
      <c r="I6" s="192">
        <f>IF(AD5+AD10+AE12+AD15+AE19=0,"",AD5+AD10+AE12+AD15+AE19)</f>
      </c>
      <c r="J6" s="180">
        <v>2</v>
      </c>
      <c r="L6" s="4" t="str">
        <f t="shared" si="0"/>
        <v>bye - bye</v>
      </c>
      <c r="M6" s="4" t="str">
        <f aca="true" t="shared" si="12" ref="M6:M19">CONCATENATE("Dvouhra - Skupina A")</f>
        <v>Dvouhra - Skupina A</v>
      </c>
      <c r="N6" s="4">
        <f>A7</f>
        <v>0</v>
      </c>
      <c r="O6" s="4" t="str">
        <f>IF($N6=0,"bye",VLOOKUP($N6,seznam!$A$2:$C$40,2,FALSE))</f>
        <v>bye</v>
      </c>
      <c r="P6" s="4">
        <f>IF($N6=0,"",VLOOKUP($N6,seznam!$A$2:$D$40,4,FALSE))</f>
      </c>
      <c r="Q6" s="4">
        <f>A10</f>
        <v>0</v>
      </c>
      <c r="R6" s="4" t="str">
        <f>IF($Q6=0,"bye",VLOOKUP($Q6,seznam!$A$2:$C$40,2,FALSE))</f>
        <v>bye</v>
      </c>
      <c r="S6" s="4">
        <f>IF($Q6=0,"",VLOOKUP($Q6,seznam!$A$2:$D$40,4,FALSE))</f>
      </c>
      <c r="T6" s="115"/>
      <c r="U6" s="116"/>
      <c r="V6" s="116"/>
      <c r="W6" s="116"/>
      <c r="X6" s="117"/>
      <c r="Y6" s="4">
        <f t="shared" si="1"/>
        <v>0</v>
      </c>
      <c r="Z6" s="4">
        <f t="shared" si="2"/>
        <v>0</v>
      </c>
      <c r="AA6" s="4">
        <f t="shared" si="3"/>
        <v>0</v>
      </c>
      <c r="AB6" s="4">
        <f>IF($AA6=0,"",VLOOKUP($AA6,seznam!$A$2:$C$40,2,FALSE))</f>
      </c>
      <c r="AC6" s="4">
        <f t="shared" si="4"/>
      </c>
      <c r="AD6" s="4">
        <f t="shared" si="5"/>
        <v>0</v>
      </c>
      <c r="AE6" s="4">
        <f t="shared" si="6"/>
        <v>0</v>
      </c>
      <c r="AG6" s="4">
        <f t="shared" si="7"/>
        <v>0</v>
      </c>
      <c r="AH6" s="4">
        <f t="shared" si="8"/>
        <v>0</v>
      </c>
      <c r="AI6" s="4">
        <f t="shared" si="9"/>
        <v>0</v>
      </c>
      <c r="AJ6" s="4">
        <f t="shared" si="10"/>
        <v>0</v>
      </c>
      <c r="AK6" s="4">
        <f t="shared" si="11"/>
        <v>0</v>
      </c>
    </row>
    <row r="7" spans="1:37" ht="16.5" customHeight="1">
      <c r="A7" s="244"/>
      <c r="B7" s="202">
        <f>IF($A7="","",CONCATENATE(VLOOKUP($A7,seznam!$A$2:$B$40,2,FALSE)," (",VLOOKUP($A7,seznam!$A$2:$H$40,5,FALSE),")"))</f>
      </c>
      <c r="C7" s="208">
        <f>IF(Z10+Y10=0,"",CONCATENATE(Y10,":",Z10))</f>
      </c>
      <c r="D7" s="204" t="s">
        <v>17</v>
      </c>
      <c r="E7" s="204">
        <f>IF(Y16+Z16=0,"",CONCATENATE(Z16,":",Y16))</f>
      </c>
      <c r="F7" s="204">
        <f>IF(Z18+Y18=0,"",CONCATENATE(Y18,":",Z18))</f>
      </c>
      <c r="G7" s="204">
        <f>IF(Y6+Z6=0,"",CONCATENATE(Y6,":",Z6))</f>
      </c>
      <c r="H7" s="207">
        <f>IF(Y11+Z11=0,"",CONCATENATE(Z11,":",Y11))</f>
      </c>
      <c r="I7" s="190">
        <f>IF(AD6+AE10+AD11+AD16+AE18=0,"",AD6+AE10+AD11+AD16+AE18)</f>
      </c>
      <c r="J7" s="181">
        <v>5</v>
      </c>
      <c r="L7" s="4" t="str">
        <f t="shared" si="0"/>
        <v>bye - bye</v>
      </c>
      <c r="M7" s="4" t="str">
        <f t="shared" si="12"/>
        <v>Dvouhra - Skupina A</v>
      </c>
      <c r="N7" s="4">
        <f>A8</f>
        <v>0</v>
      </c>
      <c r="O7" s="4" t="str">
        <f>IF($N7=0,"bye",VLOOKUP($N7,seznam!$A$2:$C$40,2,FALSE))</f>
        <v>bye</v>
      </c>
      <c r="P7" s="4">
        <f>IF($N7=0,"",VLOOKUP($N7,seznam!$A$2:$D$40,4,FALSE))</f>
      </c>
      <c r="Q7" s="4">
        <f>A9</f>
        <v>0</v>
      </c>
      <c r="R7" s="4" t="str">
        <f>IF($Q7=0,"bye",VLOOKUP($Q7,seznam!$A$2:$C$40,2,FALSE))</f>
        <v>bye</v>
      </c>
      <c r="S7" s="4">
        <f>IF($Q7=0,"",VLOOKUP($Q7,seznam!$A$2:$D$40,4,FALSE))</f>
      </c>
      <c r="T7" s="115"/>
      <c r="U7" s="116"/>
      <c r="V7" s="116"/>
      <c r="W7" s="116"/>
      <c r="X7" s="120"/>
      <c r="Y7" s="4">
        <f t="shared" si="1"/>
        <v>0</v>
      </c>
      <c r="Z7" s="4">
        <f t="shared" si="2"/>
        <v>0</v>
      </c>
      <c r="AA7" s="4">
        <f t="shared" si="3"/>
        <v>0</v>
      </c>
      <c r="AB7" s="4">
        <f>IF($AA7=0,"",VLOOKUP($AA7,seznam!$A$2:$C$40,2,FALSE))</f>
      </c>
      <c r="AC7" s="4">
        <f t="shared" si="4"/>
      </c>
      <c r="AD7" s="4">
        <f t="shared" si="5"/>
        <v>0</v>
      </c>
      <c r="AE7" s="4">
        <f t="shared" si="6"/>
        <v>0</v>
      </c>
      <c r="AG7" s="4">
        <f t="shared" si="7"/>
        <v>0</v>
      </c>
      <c r="AH7" s="4">
        <f t="shared" si="8"/>
        <v>0</v>
      </c>
      <c r="AI7" s="4">
        <f t="shared" si="9"/>
        <v>0</v>
      </c>
      <c r="AJ7" s="4">
        <f t="shared" si="10"/>
        <v>0</v>
      </c>
      <c r="AK7" s="4">
        <f t="shared" si="11"/>
        <v>0</v>
      </c>
    </row>
    <row r="8" spans="1:37" ht="16.5" customHeight="1">
      <c r="A8" s="244"/>
      <c r="B8" s="202">
        <f>IF($A8="","",CONCATENATE(VLOOKUP($A8,seznam!$A$2:$B$40,2,FALSE)," (",VLOOKUP($A8,seznam!$A$2:$H$40,5,FALSE),")"))</f>
      </c>
      <c r="C8" s="208">
        <f>IF(Y12+Z12=0,"",CONCATENATE(Z12,":",Y12))</f>
      </c>
      <c r="D8" s="204">
        <f>IF(Z16+Y16=0,"",CONCATENATE(Y16,":",Z16))</f>
      </c>
      <c r="E8" s="204" t="s">
        <v>17</v>
      </c>
      <c r="F8" s="204">
        <f>IF(Y7+Z7=0,"",CONCATENATE(Z7,":",Y7))</f>
      </c>
      <c r="G8" s="204">
        <f>IF(Z9+Y9=0,"",CONCATENATE(Y9,":",Z9))</f>
      </c>
      <c r="H8" s="207">
        <f>IF(Y17+Z17=0,"",CONCATENATE(Z17,":",Y17))</f>
      </c>
      <c r="I8" s="190">
        <f>IF(AD7+AE9+AD12+AE16+AD17=0,"",AD7+AE9+AD12+AE16+AD17)</f>
      </c>
      <c r="J8" s="181">
        <v>4</v>
      </c>
      <c r="K8" s="199" t="s">
        <v>51</v>
      </c>
      <c r="L8" s="4" t="str">
        <f t="shared" si="0"/>
        <v>bye - bye</v>
      </c>
      <c r="M8" s="4" t="str">
        <f t="shared" si="12"/>
        <v>Dvouhra - Skupina A</v>
      </c>
      <c r="N8" s="4">
        <f>A11</f>
        <v>0</v>
      </c>
      <c r="O8" s="4" t="str">
        <f>IF($N8=0,"bye",VLOOKUP($N8,seznam!$A$2:$C$40,2,FALSE))</f>
        <v>bye</v>
      </c>
      <c r="P8" s="4">
        <f>IF($N8=0,"",VLOOKUP($N8,seznam!$A$2:$D$40,4,FALSE))</f>
      </c>
      <c r="Q8" s="4">
        <f>A9</f>
        <v>0</v>
      </c>
      <c r="R8" s="4" t="str">
        <f>IF($Q8=0,"bye",VLOOKUP($Q8,seznam!$A$2:$C$40,2,FALSE))</f>
        <v>bye</v>
      </c>
      <c r="S8" s="4">
        <f>IF($Q8=0,"",VLOOKUP($Q8,seznam!$A$2:$D$40,4,FALSE))</f>
      </c>
      <c r="T8" s="115"/>
      <c r="U8" s="116"/>
      <c r="V8" s="116"/>
      <c r="W8" s="116"/>
      <c r="X8" s="117"/>
      <c r="Y8" s="4">
        <f t="shared" si="1"/>
        <v>0</v>
      </c>
      <c r="Z8" s="4">
        <f t="shared" si="2"/>
        <v>0</v>
      </c>
      <c r="AA8" s="4">
        <f t="shared" si="3"/>
        <v>0</v>
      </c>
      <c r="AB8" s="4">
        <f>IF($AA8=0,"",VLOOKUP($AA8,seznam!$A$2:$C$40,2,FALSE))</f>
      </c>
      <c r="AC8" s="4">
        <f t="shared" si="4"/>
      </c>
      <c r="AD8" s="4">
        <f t="shared" si="5"/>
        <v>0</v>
      </c>
      <c r="AE8" s="4">
        <f t="shared" si="6"/>
        <v>0</v>
      </c>
      <c r="AG8" s="4">
        <f t="shared" si="7"/>
        <v>0</v>
      </c>
      <c r="AH8" s="4">
        <f t="shared" si="8"/>
        <v>0</v>
      </c>
      <c r="AI8" s="4">
        <f t="shared" si="9"/>
        <v>0</v>
      </c>
      <c r="AJ8" s="4">
        <f t="shared" si="10"/>
        <v>0</v>
      </c>
      <c r="AK8" s="4">
        <f t="shared" si="11"/>
        <v>0</v>
      </c>
    </row>
    <row r="9" spans="1:37" ht="16.5" customHeight="1">
      <c r="A9" s="245"/>
      <c r="B9" s="202">
        <f>IF($A9="","",CONCATENATE(VLOOKUP($A9,seznam!$A$2:$B$40,2,FALSE)," (",VLOOKUP($A9,seznam!$A$2:$H$40,5,FALSE),")"))</f>
      </c>
      <c r="C9" s="208">
        <f>IF(Z15+Y15=0,"",CONCATENATE(Y15,":",Z15))</f>
      </c>
      <c r="D9" s="204">
        <f>IF(Y18+Z18=0,"",CONCATENATE(Y18,":",Y18))</f>
      </c>
      <c r="E9" s="204">
        <f>IF(Z7+Y7=0,"",CONCATENATE(Y7,":",Z7))</f>
      </c>
      <c r="F9" s="204" t="s">
        <v>17</v>
      </c>
      <c r="G9" s="204">
        <f>IF(Y13+Z13=0,"",CONCATENATE(Z13,":",Y13))</f>
      </c>
      <c r="H9" s="207">
        <f>IF(Z8+Y8=0,"",CONCATENATE(Y8,":",Z8))</f>
      </c>
      <c r="I9" s="190">
        <f>IF(AE7+AE8+AD13+AE15+AD18=0,"",AE7+AE8+AD13+AE15+AD18)</f>
      </c>
      <c r="J9" s="184">
        <v>3</v>
      </c>
      <c r="L9" s="4" t="str">
        <f t="shared" si="0"/>
        <v>bye - bye</v>
      </c>
      <c r="M9" s="4" t="str">
        <f t="shared" si="12"/>
        <v>Dvouhra - Skupina A</v>
      </c>
      <c r="N9" s="4">
        <f>A10</f>
        <v>0</v>
      </c>
      <c r="O9" s="4" t="str">
        <f>IF($N9=0,"bye",VLOOKUP($N9,seznam!$A$2:$C$40,2,FALSE))</f>
        <v>bye</v>
      </c>
      <c r="P9" s="4">
        <f>IF($N9=0,"",VLOOKUP($N9,seznam!$A$2:$D$40,4,FALSE))</f>
      </c>
      <c r="Q9" s="4">
        <f>A8</f>
        <v>0</v>
      </c>
      <c r="R9" s="4" t="str">
        <f>IF($Q9=0,"bye",VLOOKUP($Q9,seznam!$A$2:$C$40,2,FALSE))</f>
        <v>bye</v>
      </c>
      <c r="S9" s="4">
        <f>IF($Q9=0,"",VLOOKUP($Q9,seznam!$A$2:$D$40,4,FALSE))</f>
      </c>
      <c r="T9" s="115"/>
      <c r="U9" s="116"/>
      <c r="V9" s="116"/>
      <c r="W9" s="116"/>
      <c r="X9" s="117"/>
      <c r="Y9" s="4">
        <f t="shared" si="1"/>
        <v>0</v>
      </c>
      <c r="Z9" s="4">
        <f t="shared" si="2"/>
        <v>0</v>
      </c>
      <c r="AA9" s="4">
        <f t="shared" si="3"/>
        <v>0</v>
      </c>
      <c r="AB9" s="4">
        <f>IF($AA9=0,"",VLOOKUP($AA9,seznam!$A$2:$C$40,2,FALSE))</f>
      </c>
      <c r="AC9" s="4">
        <f t="shared" si="4"/>
      </c>
      <c r="AD9" s="4">
        <f t="shared" si="5"/>
        <v>0</v>
      </c>
      <c r="AE9" s="4">
        <f t="shared" si="6"/>
        <v>0</v>
      </c>
      <c r="AG9" s="4">
        <f t="shared" si="7"/>
        <v>0</v>
      </c>
      <c r="AH9" s="4">
        <f t="shared" si="8"/>
        <v>0</v>
      </c>
      <c r="AI9" s="4">
        <f t="shared" si="9"/>
        <v>0</v>
      </c>
      <c r="AJ9" s="4">
        <f t="shared" si="10"/>
        <v>0</v>
      </c>
      <c r="AK9" s="4">
        <f t="shared" si="11"/>
        <v>0</v>
      </c>
    </row>
    <row r="10" spans="1:37" ht="16.5" customHeight="1">
      <c r="A10" s="245"/>
      <c r="B10" s="202">
        <f>IF($A10="","",CONCATENATE(VLOOKUP($A10,seznam!$A$2:$B$40,2,FALSE)," (",VLOOKUP($A10,seznam!$A$2:$H$40,5,FALSE),")"))</f>
      </c>
      <c r="C10" s="208">
        <f>IF(Y19+Z19=0,"",CONCATENATE(Z19,":",Y19))</f>
      </c>
      <c r="D10" s="204">
        <f>IF(Z6+Y6=0,"",CONCATENATE(Z6,":",Y6))</f>
      </c>
      <c r="E10" s="204">
        <f>IF(Y9+Z9=0,"",CONCATENATE(Z9,":",Y9))</f>
      </c>
      <c r="F10" s="204">
        <f>IF(Z13+Y13=0,"",CONCATENATE(Y13,":",Z13))</f>
      </c>
      <c r="G10" s="204" t="s">
        <v>17</v>
      </c>
      <c r="H10" s="207">
        <f>IF(Z14+Y14=0,"",CONCATENATE(Y14,":",Z14))</f>
      </c>
      <c r="I10" s="190">
        <f>IF(AE6+AD9+AE13+AE14+AD19=0,"",AE6+AD9+AE13+AE14+AD19)</f>
      </c>
      <c r="J10" s="184">
        <v>1</v>
      </c>
      <c r="L10" s="4" t="str">
        <f t="shared" si="0"/>
        <v>bye - bye</v>
      </c>
      <c r="M10" s="4" t="str">
        <f t="shared" si="12"/>
        <v>Dvouhra - Skupina A</v>
      </c>
      <c r="N10" s="4">
        <f>A6</f>
        <v>0</v>
      </c>
      <c r="O10" s="4" t="str">
        <f>IF($N10=0,"bye",VLOOKUP($N10,seznam!$A$2:$C$40,2,FALSE))</f>
        <v>bye</v>
      </c>
      <c r="P10" s="4">
        <f>IF($N10=0,"",VLOOKUP($N10,seznam!$A$2:$D$40,4,FALSE))</f>
      </c>
      <c r="Q10" s="4">
        <f>A7</f>
        <v>0</v>
      </c>
      <c r="R10" s="4" t="str">
        <f>IF($Q10=0,"bye",VLOOKUP($Q10,seznam!$A$2:$C$40,2,FALSE))</f>
        <v>bye</v>
      </c>
      <c r="S10" s="4">
        <f>IF($Q10=0,"",VLOOKUP($Q10,seznam!$A$2:$D$40,4,FALSE))</f>
      </c>
      <c r="T10" s="115"/>
      <c r="U10" s="116"/>
      <c r="V10" s="116"/>
      <c r="W10" s="116"/>
      <c r="X10" s="117"/>
      <c r="Y10" s="4">
        <f t="shared" si="1"/>
        <v>0</v>
      </c>
      <c r="Z10" s="4">
        <f t="shared" si="2"/>
        <v>0</v>
      </c>
      <c r="AA10" s="4">
        <f t="shared" si="3"/>
        <v>0</v>
      </c>
      <c r="AB10" s="4">
        <f>IF($AA10=0,"",VLOOKUP($AA10,seznam!$A$2:$C$40,2,FALSE))</f>
      </c>
      <c r="AC10" s="4">
        <f t="shared" si="4"/>
      </c>
      <c r="AD10" s="4">
        <f t="shared" si="5"/>
        <v>0</v>
      </c>
      <c r="AE10" s="4">
        <f t="shared" si="6"/>
        <v>0</v>
      </c>
      <c r="AG10" s="4">
        <f t="shared" si="7"/>
        <v>0</v>
      </c>
      <c r="AH10" s="4">
        <f t="shared" si="8"/>
        <v>0</v>
      </c>
      <c r="AI10" s="4">
        <f t="shared" si="9"/>
        <v>0</v>
      </c>
      <c r="AJ10" s="4">
        <f t="shared" si="10"/>
        <v>0</v>
      </c>
      <c r="AK10" s="4">
        <f t="shared" si="11"/>
        <v>0</v>
      </c>
    </row>
    <row r="11" spans="1:37" ht="16.5" customHeight="1" thickBot="1">
      <c r="A11" s="246"/>
      <c r="B11" s="209">
        <f>IF($A11="","",CONCATENATE(VLOOKUP($A11,seznam!$A$2:$B$40,2,FALSE)," (",VLOOKUP($A11,seznam!$A$2:$H$40,5,FALSE),")"))</f>
      </c>
      <c r="C11" s="210">
        <f>IF(Z5+Y5=0,"",CONCATENATE(Y5,":",Z5))</f>
      </c>
      <c r="D11" s="211">
        <f>IF(Z11+Y11=0,"",CONCATENATE(Y11,":",Z11))</f>
      </c>
      <c r="E11" s="211">
        <f>IF(Z17+Y17=0,"",CONCATENATE(Y17,":",Z17))</f>
      </c>
      <c r="F11" s="211">
        <f>IF(Y8+Z8=0,"",CONCATENATE(Z8,":",Y8))</f>
      </c>
      <c r="G11" s="211">
        <f>IF(Y14+Z14=0,"",CONCATENATE(Z14,":",Y14))</f>
      </c>
      <c r="H11" s="212" t="s">
        <v>17</v>
      </c>
      <c r="I11" s="191">
        <f>IF(AE5+AD8+AE11+AD14+AD17=0,"",AE5+AD8+AE11+AD14+AD17)</f>
      </c>
      <c r="J11" s="185">
        <v>6</v>
      </c>
      <c r="K11" s="199" t="s">
        <v>49</v>
      </c>
      <c r="L11" s="4" t="str">
        <f t="shared" si="0"/>
        <v>bye - bye</v>
      </c>
      <c r="M11" s="4" t="str">
        <f t="shared" si="12"/>
        <v>Dvouhra - Skupina A</v>
      </c>
      <c r="N11" s="4">
        <f>A7</f>
        <v>0</v>
      </c>
      <c r="O11" s="4" t="str">
        <f>IF($N11=0,"bye",VLOOKUP($N11,seznam!$A$2:$C$40,2,FALSE))</f>
        <v>bye</v>
      </c>
      <c r="P11" s="4">
        <f>IF($N11=0,"",VLOOKUP($N11,seznam!$A$2:$D$40,4,FALSE))</f>
      </c>
      <c r="Q11" s="4">
        <f>A11</f>
        <v>0</v>
      </c>
      <c r="R11" s="4" t="str">
        <f>IF($Q11=0,"bye",VLOOKUP($Q11,seznam!$A$2:$C$40,2,FALSE))</f>
        <v>bye</v>
      </c>
      <c r="S11" s="4">
        <f>IF($Q11=0,"",VLOOKUP($Q11,seznam!$A$2:$D$40,4,FALSE))</f>
      </c>
      <c r="T11" s="115"/>
      <c r="U11" s="116"/>
      <c r="V11" s="116"/>
      <c r="W11" s="116"/>
      <c r="X11" s="117"/>
      <c r="Y11" s="4">
        <f t="shared" si="1"/>
        <v>0</v>
      </c>
      <c r="Z11" s="4">
        <f t="shared" si="2"/>
        <v>0</v>
      </c>
      <c r="AA11" s="4">
        <f t="shared" si="3"/>
        <v>0</v>
      </c>
      <c r="AB11" s="4">
        <f>IF($AA11=0,"",VLOOKUP($AA11,seznam!$A$2:$C$40,2,FALSE))</f>
      </c>
      <c r="AC11" s="4">
        <f t="shared" si="4"/>
      </c>
      <c r="AD11" s="4">
        <f t="shared" si="5"/>
        <v>0</v>
      </c>
      <c r="AE11" s="4">
        <f t="shared" si="6"/>
        <v>0</v>
      </c>
      <c r="AG11" s="4">
        <f t="shared" si="7"/>
        <v>0</v>
      </c>
      <c r="AH11" s="4">
        <f t="shared" si="8"/>
        <v>0</v>
      </c>
      <c r="AI11" s="4">
        <f t="shared" si="9"/>
        <v>0</v>
      </c>
      <c r="AJ11" s="4">
        <f t="shared" si="10"/>
        <v>0</v>
      </c>
      <c r="AK11" s="4">
        <f t="shared" si="11"/>
        <v>0</v>
      </c>
    </row>
    <row r="12" spans="12:37" ht="16.5" customHeight="1" thickTop="1">
      <c r="L12" s="4" t="str">
        <f t="shared" si="0"/>
        <v>bye - bye</v>
      </c>
      <c r="M12" s="4" t="str">
        <f t="shared" si="12"/>
        <v>Dvouhra - Skupina A</v>
      </c>
      <c r="N12" s="4">
        <f>A8</f>
        <v>0</v>
      </c>
      <c r="O12" s="4" t="str">
        <f>IF($N12=0,"bye",VLOOKUP($N12,seznam!$A$2:$C$40,2,FALSE))</f>
        <v>bye</v>
      </c>
      <c r="P12" s="4">
        <f>IF($N12=0,"",VLOOKUP($N12,seznam!$A$2:$D$40,4,FALSE))</f>
      </c>
      <c r="Q12" s="4">
        <f>A6</f>
        <v>0</v>
      </c>
      <c r="R12" s="4" t="str">
        <f>IF($Q12=0,"bye",VLOOKUP($Q12,seznam!$A$2:$C$40,2,FALSE))</f>
        <v>bye</v>
      </c>
      <c r="S12" s="4">
        <f>IF($Q12=0,"",VLOOKUP($Q12,seznam!$A$2:$D$40,4,FALSE))</f>
      </c>
      <c r="T12" s="115"/>
      <c r="U12" s="116"/>
      <c r="V12" s="116"/>
      <c r="W12" s="116"/>
      <c r="X12" s="117"/>
      <c r="Y12" s="4">
        <f t="shared" si="1"/>
        <v>0</v>
      </c>
      <c r="Z12" s="4">
        <f t="shared" si="2"/>
        <v>0</v>
      </c>
      <c r="AA12" s="4">
        <f t="shared" si="3"/>
        <v>0</v>
      </c>
      <c r="AB12" s="4">
        <f>IF($AA12=0,"",VLOOKUP($AA12,seznam!$A$2:$C$40,2,FALSE))</f>
      </c>
      <c r="AC12" s="4">
        <f t="shared" si="4"/>
      </c>
      <c r="AD12" s="4">
        <f t="shared" si="5"/>
        <v>0</v>
      </c>
      <c r="AE12" s="4">
        <f t="shared" si="6"/>
        <v>0</v>
      </c>
      <c r="AG12" s="4">
        <f t="shared" si="7"/>
        <v>0</v>
      </c>
      <c r="AH12" s="4">
        <f t="shared" si="8"/>
        <v>0</v>
      </c>
      <c r="AI12" s="4">
        <f t="shared" si="9"/>
        <v>0</v>
      </c>
      <c r="AJ12" s="4">
        <f t="shared" si="10"/>
        <v>0</v>
      </c>
      <c r="AK12" s="4">
        <f t="shared" si="11"/>
        <v>0</v>
      </c>
    </row>
    <row r="13" spans="12:37" ht="16.5" customHeight="1">
      <c r="L13" s="4" t="str">
        <f t="shared" si="0"/>
        <v>bye - bye</v>
      </c>
      <c r="M13" s="4" t="str">
        <f t="shared" si="12"/>
        <v>Dvouhra - Skupina A</v>
      </c>
      <c r="N13" s="4">
        <f>A9</f>
        <v>0</v>
      </c>
      <c r="O13" s="4" t="str">
        <f>IF($N13=0,"bye",VLOOKUP($N13,seznam!$A$2:$C$40,2,FALSE))</f>
        <v>bye</v>
      </c>
      <c r="P13" s="4">
        <f>IF($N13=0,"",VLOOKUP($N13,seznam!$A$2:$D$40,4,FALSE))</f>
      </c>
      <c r="Q13" s="4">
        <f>A10</f>
        <v>0</v>
      </c>
      <c r="R13" s="4" t="str">
        <f>IF($Q13=0,"bye",VLOOKUP($Q13,seznam!$A$2:$C$40,2,FALSE))</f>
        <v>bye</v>
      </c>
      <c r="S13" s="4">
        <f>IF($Q13=0,"",VLOOKUP($Q13,seznam!$A$2:$D$40,4,FALSE))</f>
      </c>
      <c r="T13" s="115"/>
      <c r="U13" s="116"/>
      <c r="V13" s="116"/>
      <c r="W13" s="116"/>
      <c r="X13" s="117"/>
      <c r="Y13" s="4">
        <f t="shared" si="1"/>
        <v>0</v>
      </c>
      <c r="Z13" s="4">
        <f t="shared" si="2"/>
        <v>0</v>
      </c>
      <c r="AA13" s="4">
        <f t="shared" si="3"/>
        <v>0</v>
      </c>
      <c r="AB13" s="4">
        <f>IF($AA13=0,"",VLOOKUP($AA13,seznam!$A$2:$C$40,2,FALSE))</f>
      </c>
      <c r="AC13" s="4">
        <f t="shared" si="4"/>
      </c>
      <c r="AD13" s="4">
        <f t="shared" si="5"/>
        <v>0</v>
      </c>
      <c r="AE13" s="4">
        <f t="shared" si="6"/>
        <v>0</v>
      </c>
      <c r="AG13" s="4">
        <f t="shared" si="7"/>
        <v>0</v>
      </c>
      <c r="AH13" s="4">
        <f t="shared" si="8"/>
        <v>0</v>
      </c>
      <c r="AI13" s="4">
        <f t="shared" si="9"/>
        <v>0</v>
      </c>
      <c r="AJ13" s="4">
        <f t="shared" si="10"/>
        <v>0</v>
      </c>
      <c r="AK13" s="4">
        <f t="shared" si="11"/>
        <v>0</v>
      </c>
    </row>
    <row r="14" spans="3:37" ht="16.5" customHeight="1">
      <c r="C14" s="99"/>
      <c r="I14" s="99"/>
      <c r="K14" s="199" t="s">
        <v>52</v>
      </c>
      <c r="L14" s="4" t="str">
        <f t="shared" si="0"/>
        <v>bye - bye</v>
      </c>
      <c r="M14" s="4" t="str">
        <f t="shared" si="12"/>
        <v>Dvouhra - Skupina A</v>
      </c>
      <c r="N14" s="4">
        <f>A11</f>
        <v>0</v>
      </c>
      <c r="O14" s="4" t="str">
        <f>IF($N14=0,"bye",VLOOKUP($N14,seznam!$A$2:$C$40,2,FALSE))</f>
        <v>bye</v>
      </c>
      <c r="P14" s="4">
        <f>IF($N14=0,"",VLOOKUP($N14,seznam!$A$2:$D$40,4,FALSE))</f>
      </c>
      <c r="Q14" s="4">
        <f>A10</f>
        <v>0</v>
      </c>
      <c r="R14" s="4" t="str">
        <f>IF($Q14=0,"bye",VLOOKUP($Q14,seznam!$A$2:$C$40,2,FALSE))</f>
        <v>bye</v>
      </c>
      <c r="S14" s="4">
        <f>IF($Q14=0,"",VLOOKUP($Q14,seznam!$A$2:$D$40,4,FALSE))</f>
      </c>
      <c r="T14" s="115"/>
      <c r="U14" s="116"/>
      <c r="V14" s="116"/>
      <c r="W14" s="116"/>
      <c r="X14" s="117"/>
      <c r="Y14" s="4">
        <f t="shared" si="1"/>
        <v>0</v>
      </c>
      <c r="Z14" s="4">
        <f t="shared" si="2"/>
        <v>0</v>
      </c>
      <c r="AA14" s="4">
        <f t="shared" si="3"/>
        <v>0</v>
      </c>
      <c r="AB14" s="4">
        <f>IF($AA14=0,"",VLOOKUP($AA14,seznam!$A$2:$C$40,2,FALSE))</f>
      </c>
      <c r="AC14" s="4">
        <f t="shared" si="4"/>
      </c>
      <c r="AD14" s="4">
        <f t="shared" si="5"/>
        <v>0</v>
      </c>
      <c r="AE14" s="4">
        <f t="shared" si="6"/>
        <v>0</v>
      </c>
      <c r="AG14" s="4">
        <f t="shared" si="7"/>
        <v>0</v>
      </c>
      <c r="AH14" s="4">
        <f t="shared" si="8"/>
        <v>0</v>
      </c>
      <c r="AI14" s="4">
        <f t="shared" si="9"/>
        <v>0</v>
      </c>
      <c r="AJ14" s="4">
        <f t="shared" si="10"/>
        <v>0</v>
      </c>
      <c r="AK14" s="4">
        <f t="shared" si="11"/>
        <v>0</v>
      </c>
    </row>
    <row r="15" spans="3:37" ht="16.5" customHeight="1">
      <c r="C15" s="99"/>
      <c r="I15" s="99"/>
      <c r="L15" s="4" t="str">
        <f t="shared" si="0"/>
        <v>bye - bye</v>
      </c>
      <c r="M15" s="4" t="str">
        <f t="shared" si="12"/>
        <v>Dvouhra - Skupina A</v>
      </c>
      <c r="N15" s="4">
        <f>A6</f>
        <v>0</v>
      </c>
      <c r="O15" s="4" t="str">
        <f>IF($N15=0,"bye",VLOOKUP($N15,seznam!$A$2:$C$40,2,FALSE))</f>
        <v>bye</v>
      </c>
      <c r="P15" s="4">
        <f>IF($N15=0,"",VLOOKUP($N15,seznam!$A$2:$D$40,4,FALSE))</f>
      </c>
      <c r="Q15" s="4">
        <f>A9</f>
        <v>0</v>
      </c>
      <c r="R15" s="4" t="str">
        <f>IF($Q15=0,"bye",VLOOKUP($Q15,seznam!$A$2:$C$40,2,FALSE))</f>
        <v>bye</v>
      </c>
      <c r="S15" s="4">
        <f>IF($Q15=0,"",VLOOKUP($Q15,seznam!$A$2:$D$40,4,FALSE))</f>
      </c>
      <c r="T15" s="115"/>
      <c r="U15" s="116"/>
      <c r="V15" s="116"/>
      <c r="W15" s="116"/>
      <c r="X15" s="117"/>
      <c r="Y15" s="4">
        <f t="shared" si="1"/>
        <v>0</v>
      </c>
      <c r="Z15" s="4">
        <f t="shared" si="2"/>
        <v>0</v>
      </c>
      <c r="AA15" s="4">
        <f t="shared" si="3"/>
        <v>0</v>
      </c>
      <c r="AB15" s="4">
        <f>IF($AA15=0,"",VLOOKUP($AA15,seznam!$A$2:$C$40,2,FALSE))</f>
      </c>
      <c r="AC15" s="4">
        <f t="shared" si="4"/>
      </c>
      <c r="AD15" s="4">
        <f t="shared" si="5"/>
        <v>0</v>
      </c>
      <c r="AE15" s="4">
        <f t="shared" si="6"/>
        <v>0</v>
      </c>
      <c r="AG15" s="4">
        <f t="shared" si="7"/>
        <v>0</v>
      </c>
      <c r="AH15" s="4">
        <f t="shared" si="8"/>
        <v>0</v>
      </c>
      <c r="AI15" s="4">
        <f t="shared" si="9"/>
        <v>0</v>
      </c>
      <c r="AJ15" s="4">
        <f t="shared" si="10"/>
        <v>0</v>
      </c>
      <c r="AK15" s="4">
        <f t="shared" si="11"/>
        <v>0</v>
      </c>
    </row>
    <row r="16" spans="3:37" ht="16.5" customHeight="1">
      <c r="C16" s="99"/>
      <c r="I16" s="99"/>
      <c r="L16" s="4" t="str">
        <f t="shared" si="0"/>
        <v>bye - bye</v>
      </c>
      <c r="M16" s="4" t="str">
        <f t="shared" si="12"/>
        <v>Dvouhra - Skupina A</v>
      </c>
      <c r="N16" s="4">
        <f>A7</f>
        <v>0</v>
      </c>
      <c r="O16" s="4" t="str">
        <f>IF($N16=0,"bye",VLOOKUP($N16,seznam!$A$2:$C$40,2,FALSE))</f>
        <v>bye</v>
      </c>
      <c r="P16" s="4">
        <f>IF($N16=0,"",VLOOKUP($N16,seznam!$A$2:$D$40,4,FALSE))</f>
      </c>
      <c r="Q16" s="4">
        <f>A8</f>
        <v>0</v>
      </c>
      <c r="R16" s="4" t="str">
        <f>IF($Q16=0,"bye",VLOOKUP($Q16,seznam!$A$2:$C$40,2,FALSE))</f>
        <v>bye</v>
      </c>
      <c r="S16" s="4">
        <f>IF($Q16=0,"",VLOOKUP($Q16,seznam!$A$2:$D$40,4,FALSE))</f>
      </c>
      <c r="T16" s="115"/>
      <c r="U16" s="116"/>
      <c r="V16" s="116"/>
      <c r="W16" s="116"/>
      <c r="X16" s="117"/>
      <c r="Y16" s="4">
        <f t="shared" si="1"/>
        <v>0</v>
      </c>
      <c r="Z16" s="4">
        <f t="shared" si="2"/>
        <v>0</v>
      </c>
      <c r="AA16" s="4">
        <f t="shared" si="3"/>
        <v>0</v>
      </c>
      <c r="AB16" s="4">
        <f>IF($AA16=0,"",VLOOKUP($AA16,seznam!$A$2:$C$40,2,FALSE))</f>
      </c>
      <c r="AC16" s="4">
        <f t="shared" si="4"/>
      </c>
      <c r="AD16" s="4">
        <f t="shared" si="5"/>
        <v>0</v>
      </c>
      <c r="AE16" s="4">
        <f t="shared" si="6"/>
        <v>0</v>
      </c>
      <c r="AG16" s="4">
        <f t="shared" si="7"/>
        <v>0</v>
      </c>
      <c r="AH16" s="4">
        <f t="shared" si="8"/>
        <v>0</v>
      </c>
      <c r="AI16" s="4">
        <f t="shared" si="9"/>
        <v>0</v>
      </c>
      <c r="AJ16" s="4">
        <f t="shared" si="10"/>
        <v>0</v>
      </c>
      <c r="AK16" s="4">
        <f t="shared" si="11"/>
        <v>0</v>
      </c>
    </row>
    <row r="17" spans="11:37" ht="16.5" customHeight="1">
      <c r="K17" s="199" t="s">
        <v>50</v>
      </c>
      <c r="L17" s="4" t="str">
        <f t="shared" si="0"/>
        <v>bye - bye</v>
      </c>
      <c r="M17" s="4" t="str">
        <f t="shared" si="12"/>
        <v>Dvouhra - Skupina A</v>
      </c>
      <c r="N17" s="4">
        <f>A8</f>
        <v>0</v>
      </c>
      <c r="O17" s="4" t="str">
        <f>IF($N17=0,"bye",VLOOKUP($N17,seznam!$A$2:$C$40,2,FALSE))</f>
        <v>bye</v>
      </c>
      <c r="P17" s="4">
        <f>IF($N17=0,"",VLOOKUP($N17,seznam!$A$2:$D$40,4,FALSE))</f>
      </c>
      <c r="Q17" s="4">
        <f>A11</f>
        <v>0</v>
      </c>
      <c r="R17" s="4" t="str">
        <f>IF($Q17=0,"bye",VLOOKUP($Q17,seznam!$A$2:$C$40,2,FALSE))</f>
        <v>bye</v>
      </c>
      <c r="S17" s="4">
        <f>IF($Q17=0,"",VLOOKUP($Q17,seznam!$A$2:$D$40,4,FALSE))</f>
      </c>
      <c r="T17" s="115"/>
      <c r="U17" s="116"/>
      <c r="V17" s="116"/>
      <c r="W17" s="116"/>
      <c r="X17" s="120"/>
      <c r="Y17" s="4">
        <f t="shared" si="1"/>
        <v>0</v>
      </c>
      <c r="Z17" s="4">
        <f t="shared" si="2"/>
        <v>0</v>
      </c>
      <c r="AA17" s="4">
        <f t="shared" si="3"/>
        <v>0</v>
      </c>
      <c r="AB17" s="4">
        <f>IF($AA17=0,"",VLOOKUP($AA17,seznam!$A$2:$C$40,2,FALSE))</f>
      </c>
      <c r="AC17" s="4">
        <f t="shared" si="4"/>
      </c>
      <c r="AD17" s="4">
        <f t="shared" si="5"/>
        <v>0</v>
      </c>
      <c r="AE17" s="4">
        <f t="shared" si="6"/>
        <v>0</v>
      </c>
      <c r="AG17" s="4">
        <f t="shared" si="7"/>
        <v>0</v>
      </c>
      <c r="AH17" s="4">
        <f t="shared" si="8"/>
        <v>0</v>
      </c>
      <c r="AI17" s="4">
        <f t="shared" si="9"/>
        <v>0</v>
      </c>
      <c r="AJ17" s="4">
        <f t="shared" si="10"/>
        <v>0</v>
      </c>
      <c r="AK17" s="4">
        <f t="shared" si="11"/>
        <v>0</v>
      </c>
    </row>
    <row r="18" spans="3:37" ht="16.5" customHeight="1">
      <c r="C18" s="99"/>
      <c r="L18" s="4" t="str">
        <f t="shared" si="0"/>
        <v>bye - bye</v>
      </c>
      <c r="M18" s="4" t="str">
        <f t="shared" si="12"/>
        <v>Dvouhra - Skupina A</v>
      </c>
      <c r="N18" s="4">
        <f>A9</f>
        <v>0</v>
      </c>
      <c r="O18" s="4" t="str">
        <f>IF($N18=0,"bye",VLOOKUP($N18,seznam!$A$2:$C$40,2,FALSE))</f>
        <v>bye</v>
      </c>
      <c r="P18" s="4">
        <f>IF($N18=0,"",VLOOKUP($N18,seznam!$A$2:$D$40,4,FALSE))</f>
      </c>
      <c r="Q18" s="4">
        <f>A7</f>
        <v>0</v>
      </c>
      <c r="R18" s="4" t="str">
        <f>IF($Q18=0,"bye",VLOOKUP($Q18,seznam!$A$2:$C$40,2,FALSE))</f>
        <v>bye</v>
      </c>
      <c r="S18" s="4">
        <f>IF($Q18=0,"",VLOOKUP($Q18,seznam!$A$2:$D$40,4,FALSE))</f>
      </c>
      <c r="T18" s="115"/>
      <c r="U18" s="116"/>
      <c r="V18" s="116"/>
      <c r="W18" s="116"/>
      <c r="X18" s="120"/>
      <c r="Y18" s="4">
        <f t="shared" si="1"/>
        <v>0</v>
      </c>
      <c r="Z18" s="4">
        <f t="shared" si="2"/>
        <v>0</v>
      </c>
      <c r="AA18" s="4">
        <f t="shared" si="3"/>
        <v>0</v>
      </c>
      <c r="AB18" s="4">
        <f>IF($AA18=0,"",VLOOKUP($AA18,seznam!$A$2:$C$40,2,FALSE))</f>
      </c>
      <c r="AC18" s="4">
        <f t="shared" si="4"/>
      </c>
      <c r="AD18" s="4">
        <f t="shared" si="5"/>
        <v>0</v>
      </c>
      <c r="AE18" s="4">
        <f t="shared" si="6"/>
        <v>0</v>
      </c>
      <c r="AG18" s="4">
        <f t="shared" si="7"/>
        <v>0</v>
      </c>
      <c r="AH18" s="4">
        <f t="shared" si="8"/>
        <v>0</v>
      </c>
      <c r="AI18" s="4">
        <f t="shared" si="9"/>
        <v>0</v>
      </c>
      <c r="AJ18" s="4">
        <f t="shared" si="10"/>
        <v>0</v>
      </c>
      <c r="AK18" s="4">
        <f t="shared" si="11"/>
        <v>0</v>
      </c>
    </row>
    <row r="19" spans="3:37" ht="16.5" customHeight="1" thickBot="1">
      <c r="C19" s="99"/>
      <c r="L19" s="4" t="str">
        <f t="shared" si="0"/>
        <v>bye - bye</v>
      </c>
      <c r="M19" s="4" t="str">
        <f t="shared" si="12"/>
        <v>Dvouhra - Skupina A</v>
      </c>
      <c r="N19" s="4">
        <f>A10</f>
        <v>0</v>
      </c>
      <c r="O19" s="4" t="str">
        <f>IF($N19=0,"bye",VLOOKUP($N19,seznam!$A$2:$C$40,2,FALSE))</f>
        <v>bye</v>
      </c>
      <c r="P19" s="4">
        <f>IF($N19=0,"",VLOOKUP($N19,seznam!$A$2:$D$40,4,FALSE))</f>
      </c>
      <c r="Q19" s="4">
        <f>A6</f>
        <v>0</v>
      </c>
      <c r="R19" s="4" t="str">
        <f>IF($Q19=0,"bye",VLOOKUP($Q19,seznam!$A$2:$C$40,2,FALSE))</f>
        <v>bye</v>
      </c>
      <c r="S19" s="4">
        <f>IF($Q19=0,"",VLOOKUP($Q19,seznam!$A$2:$D$40,4,FALSE))</f>
      </c>
      <c r="T19" s="125"/>
      <c r="U19" s="126"/>
      <c r="V19" s="126"/>
      <c r="W19" s="126"/>
      <c r="X19" s="127"/>
      <c r="Y19" s="4">
        <f t="shared" si="1"/>
        <v>0</v>
      </c>
      <c r="Z19" s="4">
        <f t="shared" si="2"/>
        <v>0</v>
      </c>
      <c r="AA19" s="4">
        <f t="shared" si="3"/>
        <v>0</v>
      </c>
      <c r="AB19" s="4">
        <f>IF($AA19=0,"",VLOOKUP($AA19,seznam!$A$2:$C$40,2,FALSE))</f>
      </c>
      <c r="AC19" s="4">
        <f t="shared" si="4"/>
      </c>
      <c r="AD19" s="4">
        <f t="shared" si="5"/>
        <v>0</v>
      </c>
      <c r="AE19" s="4">
        <f t="shared" si="6"/>
        <v>0</v>
      </c>
      <c r="AG19" s="4">
        <f t="shared" si="7"/>
        <v>0</v>
      </c>
      <c r="AH19" s="4">
        <f t="shared" si="8"/>
        <v>0</v>
      </c>
      <c r="AI19" s="4">
        <f t="shared" si="9"/>
        <v>0</v>
      </c>
      <c r="AJ19" s="4">
        <f t="shared" si="10"/>
        <v>0</v>
      </c>
      <c r="AK19" s="4">
        <f t="shared" si="11"/>
        <v>0</v>
      </c>
    </row>
    <row r="20" spans="3:27" ht="16.5" customHeight="1" thickTop="1">
      <c r="C20" s="99"/>
      <c r="M20" s="100"/>
      <c r="N20" s="100"/>
      <c r="O20" s="100"/>
      <c r="P20" s="100"/>
      <c r="Q20" s="100"/>
      <c r="R20" s="100"/>
      <c r="S20" s="100"/>
      <c r="Y20" s="100"/>
      <c r="Z20" s="100"/>
      <c r="AA20" s="100"/>
    </row>
    <row r="21" ht="16.5" customHeight="1"/>
    <row r="22" ht="16.5" customHeight="1"/>
    <row r="23" ht="16.5" customHeight="1"/>
    <row r="24" ht="16.5" customHeight="1"/>
    <row r="25" ht="16.5" customHeight="1"/>
    <row r="26" spans="1:27" ht="16.5" customHeight="1" thickBot="1">
      <c r="A26" s="3"/>
      <c r="B26" s="3"/>
      <c r="C26" s="5"/>
      <c r="D26" s="3"/>
      <c r="E26" s="3"/>
      <c r="F26" s="3"/>
      <c r="G26" s="3"/>
      <c r="H26" s="3"/>
      <c r="I26" s="7"/>
      <c r="M26" s="100" t="str">
        <f>B27</f>
        <v>Skupina B</v>
      </c>
      <c r="N26" s="100" t="s">
        <v>3</v>
      </c>
      <c r="O26" s="100" t="s">
        <v>46</v>
      </c>
      <c r="P26" s="100" t="s">
        <v>4</v>
      </c>
      <c r="Q26" s="100" t="s">
        <v>3</v>
      </c>
      <c r="R26" s="100" t="s">
        <v>47</v>
      </c>
      <c r="S26" s="100" t="s">
        <v>4</v>
      </c>
      <c r="T26" s="101" t="s">
        <v>5</v>
      </c>
      <c r="U26" s="101" t="s">
        <v>6</v>
      </c>
      <c r="V26" s="101" t="s">
        <v>7</v>
      </c>
      <c r="W26" s="101" t="s">
        <v>8</v>
      </c>
      <c r="X26" s="101" t="s">
        <v>9</v>
      </c>
      <c r="Y26" s="100" t="s">
        <v>10</v>
      </c>
      <c r="Z26" s="100" t="s">
        <v>11</v>
      </c>
      <c r="AA26" s="100" t="s">
        <v>12</v>
      </c>
    </row>
    <row r="27" spans="1:37" ht="16.5" customHeight="1" thickBot="1" thickTop="1">
      <c r="A27" s="102"/>
      <c r="B27" s="103" t="s">
        <v>18</v>
      </c>
      <c r="C27" s="104">
        <v>1</v>
      </c>
      <c r="D27" s="105">
        <v>2</v>
      </c>
      <c r="E27" s="105">
        <v>3</v>
      </c>
      <c r="F27" s="106">
        <v>4</v>
      </c>
      <c r="G27" s="106">
        <v>5</v>
      </c>
      <c r="H27" s="107">
        <v>6</v>
      </c>
      <c r="I27" s="108" t="s">
        <v>15</v>
      </c>
      <c r="J27" s="107" t="s">
        <v>16</v>
      </c>
      <c r="K27" s="199" t="s">
        <v>48</v>
      </c>
      <c r="L27" s="4" t="str">
        <f aca="true" t="shared" si="13" ref="L27:L41">CONCATENATE(O27," - ",R27)</f>
        <v>bye - bye</v>
      </c>
      <c r="M27" s="4" t="str">
        <f>CONCATENATE("Dvouhra - Skupina B")</f>
        <v>Dvouhra - Skupina B</v>
      </c>
      <c r="N27" s="4">
        <f>A28</f>
        <v>0</v>
      </c>
      <c r="O27" s="4" t="str">
        <f>IF($N27=0,"bye",VLOOKUP($N27,seznam!$A$2:$C$40,2,FALSE))</f>
        <v>bye</v>
      </c>
      <c r="P27" s="4">
        <f>IF($N27=0,"",VLOOKUP($N27,seznam!$A$2:$D$40,4,FALSE))</f>
      </c>
      <c r="Q27" s="4">
        <f>A33</f>
        <v>0</v>
      </c>
      <c r="R27" s="4" t="str">
        <f>IF($Q27=0,"bye",VLOOKUP($Q27,seznam!$A$2:$C$40,2,FALSE))</f>
        <v>bye</v>
      </c>
      <c r="S27" s="4">
        <f>IF($Q27=0,"",VLOOKUP($Q27,seznam!$A$2:$D$40,4,FALSE))</f>
      </c>
      <c r="T27" s="109"/>
      <c r="U27" s="110"/>
      <c r="V27" s="110"/>
      <c r="W27" s="110"/>
      <c r="X27" s="111"/>
      <c r="Y27" s="4">
        <f aca="true" t="shared" si="14" ref="Y27:Y41">COUNTIF(AG27:AK27,"&gt;0")</f>
        <v>0</v>
      </c>
      <c r="Z27" s="4">
        <f aca="true" t="shared" si="15" ref="Z27:Z41">COUNTIF(AG27:AK27,"&lt;0")</f>
        <v>0</v>
      </c>
      <c r="AA27" s="4">
        <f aca="true" t="shared" si="16" ref="AA27:AA41">IF(Y27=Z27,0,IF(Y27&gt;Z27,N27,Q27))</f>
        <v>0</v>
      </c>
      <c r="AB27" s="4">
        <f>IF($AA27=0,"",VLOOKUP($AA27,seznam!$A$2:$C$40,2,FALSE))</f>
      </c>
      <c r="AC27" s="4">
        <f aca="true" t="shared" si="17" ref="AC27:AC41">IF(Y27=Z27,"",IF(Y27&gt;Z27,CONCATENATE(Y27,":",Z27," (",T27,",",U27,",",V27,IF(SUM(Y27:Z27)&gt;3,",",""),W27,IF(SUM(Y27:Z27)&gt;4,",",""),X27,")"),CONCATENATE(Z27,":",Y27," (",-T27,",",-U27,",",-V27,IF(SUM(Y27:Z27)&gt;3,CONCATENATE(",",-W27),""),IF(SUM(Y27:Z27)&gt;4,CONCATENATE(",",-X27),""),")")))</f>
      </c>
      <c r="AD27" s="4">
        <f aca="true" t="shared" si="18" ref="AD27:AD41">IF(T27="",0,IF(Y27&gt;Z27,2,1))</f>
        <v>0</v>
      </c>
      <c r="AE27" s="4">
        <f aca="true" t="shared" si="19" ref="AE27:AE41">IF(T27="",0,IF(Z27&gt;Y27,2,1))</f>
        <v>0</v>
      </c>
      <c r="AG27" s="4">
        <f aca="true" t="shared" si="20" ref="AG27:AG41">IF(T27="",0,IF(MID(T27,1,1)="-",-1,1))</f>
        <v>0</v>
      </c>
      <c r="AH27" s="4">
        <f aca="true" t="shared" si="21" ref="AH27:AH41">IF(U27="",0,IF(MID(U27,1,1)="-",-1,1))</f>
        <v>0</v>
      </c>
      <c r="AI27" s="4">
        <f aca="true" t="shared" si="22" ref="AI27:AI41">IF(V27="",0,IF(MID(V27,1,1)="-",-1,1))</f>
        <v>0</v>
      </c>
      <c r="AJ27" s="4">
        <f aca="true" t="shared" si="23" ref="AJ27:AJ41">IF(W27="",0,IF(MID(W27,1,1)="-",-1,1))</f>
        <v>0</v>
      </c>
      <c r="AK27" s="4">
        <f aca="true" t="shared" si="24" ref="AK27:AK41">IF(X27="",0,IF(MID(X27,1,1)="-",-1,1))</f>
        <v>0</v>
      </c>
    </row>
    <row r="28" spans="1:37" ht="16.5" customHeight="1" thickTop="1">
      <c r="A28" s="247"/>
      <c r="B28" s="112">
        <f>IF($A28="","",CONCATENATE(VLOOKUP($A28,seznam!$A$2:$B$40,2,FALSE)," (",VLOOKUP($A28,seznam!$A$2:$H$40,5,FALSE),")"))</f>
      </c>
      <c r="C28" s="203" t="s">
        <v>17</v>
      </c>
      <c r="D28" s="205">
        <f>IF(Y32+Z32=0,"",CONCATENATE(Z32,":",Y32))</f>
      </c>
      <c r="E28" s="205">
        <f>IF(Z34+Y34=0,"",CONCATENATE(Y34,":",Z34))</f>
      </c>
      <c r="F28" s="205">
        <f>IF(Y37+Z37=0,"",CONCATENATE(Z37,":",Y37))</f>
      </c>
      <c r="G28" s="205">
        <f>IF(Z41+Y41=0,"",CONCATENATE(Y41,":",Z41))</f>
      </c>
      <c r="H28" s="206">
        <f>IF(Y27+Z27=0,"",CONCATENATE(Z27,":",Y27))</f>
      </c>
      <c r="I28" s="192">
        <f>IF(AD27+AD32+AE34+AD37+AE41=0,"",AD27+AD32+AE34+AD37+AE41)</f>
      </c>
      <c r="J28" s="114"/>
      <c r="L28" s="4" t="str">
        <f t="shared" si="13"/>
        <v>bye - bye</v>
      </c>
      <c r="M28" s="4" t="str">
        <f aca="true" t="shared" si="25" ref="M28:M41">CONCATENATE("Dvouhra - Skupina B")</f>
        <v>Dvouhra - Skupina B</v>
      </c>
      <c r="N28" s="4">
        <f>A29</f>
        <v>0</v>
      </c>
      <c r="O28" s="4" t="str">
        <f>IF($N28=0,"bye",VLOOKUP($N28,seznam!$A$2:$C$40,2,FALSE))</f>
        <v>bye</v>
      </c>
      <c r="P28" s="4">
        <f>IF($N28=0,"",VLOOKUP($N28,seznam!$A$2:$D$40,4,FALSE))</f>
      </c>
      <c r="Q28" s="4">
        <f>A32</f>
        <v>0</v>
      </c>
      <c r="R28" s="4" t="str">
        <f>IF($Q28=0,"bye",VLOOKUP($Q28,seznam!$A$2:$C$40,2,FALSE))</f>
        <v>bye</v>
      </c>
      <c r="S28" s="4">
        <f>IF($Q28=0,"",VLOOKUP($Q28,seznam!$A$2:$D$40,4,FALSE))</f>
      </c>
      <c r="T28" s="115"/>
      <c r="U28" s="116"/>
      <c r="V28" s="116"/>
      <c r="W28" s="116"/>
      <c r="X28" s="117"/>
      <c r="Y28" s="4">
        <f t="shared" si="14"/>
        <v>0</v>
      </c>
      <c r="Z28" s="4">
        <f t="shared" si="15"/>
        <v>0</v>
      </c>
      <c r="AA28" s="4">
        <f t="shared" si="16"/>
        <v>0</v>
      </c>
      <c r="AB28" s="4">
        <f>IF($AA28=0,"",VLOOKUP($AA28,seznam!$A$2:$C$40,2,FALSE))</f>
      </c>
      <c r="AC28" s="4">
        <f t="shared" si="17"/>
      </c>
      <c r="AD28" s="4">
        <f t="shared" si="18"/>
        <v>0</v>
      </c>
      <c r="AE28" s="4">
        <f t="shared" si="19"/>
        <v>0</v>
      </c>
      <c r="AG28" s="4">
        <f t="shared" si="20"/>
        <v>0</v>
      </c>
      <c r="AH28" s="4">
        <f t="shared" si="21"/>
        <v>0</v>
      </c>
      <c r="AI28" s="4">
        <f t="shared" si="22"/>
        <v>0</v>
      </c>
      <c r="AJ28" s="4">
        <f t="shared" si="23"/>
        <v>0</v>
      </c>
      <c r="AK28" s="4">
        <f t="shared" si="24"/>
        <v>0</v>
      </c>
    </row>
    <row r="29" spans="1:37" ht="16.5" customHeight="1">
      <c r="A29" s="248"/>
      <c r="B29" s="112">
        <f>IF($A29="","",CONCATENATE(VLOOKUP($A29,seznam!$A$2:$B$40,2,FALSE)," (",VLOOKUP($A29,seznam!$A$2:$H$40,5,FALSE),")"))</f>
      </c>
      <c r="C29" s="208">
        <f>IF(Z32+Y32=0,"",CONCATENATE(Y32,":",Z32))</f>
      </c>
      <c r="D29" s="204" t="s">
        <v>17</v>
      </c>
      <c r="E29" s="204">
        <f>IF(Y38+Z38=0,"",CONCATENATE(Z38,":",Y38))</f>
      </c>
      <c r="F29" s="204">
        <f>IF(Z40+Y40=0,"",CONCATENATE(Y40,":",Z40))</f>
      </c>
      <c r="G29" s="204">
        <f>IF(Y28+Z28=0,"",CONCATENATE(Y28,":",Z28))</f>
      </c>
      <c r="H29" s="207">
        <f>IF(Y33+Z33=0,"",CONCATENATE(Z33,":",Y33))</f>
      </c>
      <c r="I29" s="190">
        <f>IF(AD28+AE32+AD33+AD38+AE40=0,"",AD28+AE32+AD33+AD38+AE40)</f>
      </c>
      <c r="J29" s="119"/>
      <c r="L29" s="4" t="str">
        <f t="shared" si="13"/>
        <v>bye - bye</v>
      </c>
      <c r="M29" s="4" t="str">
        <f t="shared" si="25"/>
        <v>Dvouhra - Skupina B</v>
      </c>
      <c r="N29" s="4">
        <f>A30</f>
        <v>0</v>
      </c>
      <c r="O29" s="4" t="str">
        <f>IF($N29=0,"bye",VLOOKUP($N29,seznam!$A$2:$C$40,2,FALSE))</f>
        <v>bye</v>
      </c>
      <c r="P29" s="4">
        <f>IF($N29=0,"",VLOOKUP($N29,seznam!$A$2:$D$40,4,FALSE))</f>
      </c>
      <c r="Q29" s="4">
        <f>A31</f>
        <v>0</v>
      </c>
      <c r="R29" s="4" t="str">
        <f>IF($Q29=0,"bye",VLOOKUP($Q29,seznam!$A$2:$C$40,2,FALSE))</f>
        <v>bye</v>
      </c>
      <c r="S29" s="4">
        <f>IF($Q29=0,"",VLOOKUP($Q29,seznam!$A$2:$D$40,4,FALSE))</f>
      </c>
      <c r="T29" s="115"/>
      <c r="U29" s="116"/>
      <c r="V29" s="116"/>
      <c r="W29" s="116"/>
      <c r="X29" s="120"/>
      <c r="Y29" s="4">
        <f t="shared" si="14"/>
        <v>0</v>
      </c>
      <c r="Z29" s="4">
        <f t="shared" si="15"/>
        <v>0</v>
      </c>
      <c r="AA29" s="4">
        <f t="shared" si="16"/>
        <v>0</v>
      </c>
      <c r="AB29" s="4">
        <f>IF($AA29=0,"",VLOOKUP($AA29,seznam!$A$2:$C$40,2,FALSE))</f>
      </c>
      <c r="AC29" s="4">
        <f t="shared" si="17"/>
      </c>
      <c r="AD29" s="4">
        <f t="shared" si="18"/>
        <v>0</v>
      </c>
      <c r="AE29" s="4">
        <f t="shared" si="19"/>
        <v>0</v>
      </c>
      <c r="AG29" s="4">
        <f t="shared" si="20"/>
        <v>0</v>
      </c>
      <c r="AH29" s="4">
        <f t="shared" si="21"/>
        <v>0</v>
      </c>
      <c r="AI29" s="4">
        <f t="shared" si="22"/>
        <v>0</v>
      </c>
      <c r="AJ29" s="4">
        <f t="shared" si="23"/>
        <v>0</v>
      </c>
      <c r="AK29" s="4">
        <f t="shared" si="24"/>
        <v>0</v>
      </c>
    </row>
    <row r="30" spans="1:37" ht="16.5" customHeight="1">
      <c r="A30" s="248"/>
      <c r="B30" s="112">
        <f>IF($A30="","",CONCATENATE(VLOOKUP($A30,seznam!$A$2:$B$40,2,FALSE)," (",VLOOKUP($A30,seznam!$A$2:$H$40,5,FALSE),")"))</f>
      </c>
      <c r="C30" s="208">
        <f>IF(Y34+Z34=0,"",CONCATENATE(Z34,":",Y34))</f>
      </c>
      <c r="D30" s="204">
        <f>IF(Z38+Y38=0,"",CONCATENATE(Y38,":",Z38))</f>
      </c>
      <c r="E30" s="204" t="s">
        <v>17</v>
      </c>
      <c r="F30" s="204">
        <f>IF(Y29+Z29=0,"",CONCATENATE(Z29,":",Y29))</f>
      </c>
      <c r="G30" s="204">
        <f>IF(Z31+Y31=0,"",CONCATENATE(Y31,":",Z31))</f>
      </c>
      <c r="H30" s="207">
        <f>IF(Y39+Z39=0,"",CONCATENATE(Z39,":",Y39))</f>
      </c>
      <c r="I30" s="190">
        <f>IF(AD29+AE31+AD34+AE38+AD39=0,"",AD29+AE31+AD34+AE38+AD39)</f>
      </c>
      <c r="J30" s="119"/>
      <c r="K30" s="199" t="s">
        <v>51</v>
      </c>
      <c r="L30" s="4" t="str">
        <f t="shared" si="13"/>
        <v>bye - bye</v>
      </c>
      <c r="M30" s="4" t="str">
        <f t="shared" si="25"/>
        <v>Dvouhra - Skupina B</v>
      </c>
      <c r="N30" s="4">
        <f>A33</f>
        <v>0</v>
      </c>
      <c r="O30" s="4" t="str">
        <f>IF($N30=0,"bye",VLOOKUP($N30,seznam!$A$2:$C$40,2,FALSE))</f>
        <v>bye</v>
      </c>
      <c r="P30" s="4">
        <f>IF($N30=0,"",VLOOKUP($N30,seznam!$A$2:$D$40,4,FALSE))</f>
      </c>
      <c r="Q30" s="4">
        <f>A31</f>
        <v>0</v>
      </c>
      <c r="R30" s="4" t="str">
        <f>IF($Q30=0,"bye",VLOOKUP($Q30,seznam!$A$2:$C$40,2,FALSE))</f>
        <v>bye</v>
      </c>
      <c r="S30" s="4">
        <f>IF($Q30=0,"",VLOOKUP($Q30,seznam!$A$2:$D$40,4,FALSE))</f>
      </c>
      <c r="T30" s="115"/>
      <c r="U30" s="116"/>
      <c r="V30" s="116"/>
      <c r="W30" s="116"/>
      <c r="X30" s="117"/>
      <c r="Y30" s="4">
        <f t="shared" si="14"/>
        <v>0</v>
      </c>
      <c r="Z30" s="4">
        <f t="shared" si="15"/>
        <v>0</v>
      </c>
      <c r="AA30" s="4">
        <f t="shared" si="16"/>
        <v>0</v>
      </c>
      <c r="AB30" s="4">
        <f>IF($AA30=0,"",VLOOKUP($AA30,seznam!$A$2:$C$40,2,FALSE))</f>
      </c>
      <c r="AC30" s="4">
        <f t="shared" si="17"/>
      </c>
      <c r="AD30" s="4">
        <f t="shared" si="18"/>
        <v>0</v>
      </c>
      <c r="AE30" s="4">
        <f t="shared" si="19"/>
        <v>0</v>
      </c>
      <c r="AG30" s="4">
        <f t="shared" si="20"/>
        <v>0</v>
      </c>
      <c r="AH30" s="4">
        <f t="shared" si="21"/>
        <v>0</v>
      </c>
      <c r="AI30" s="4">
        <f t="shared" si="22"/>
        <v>0</v>
      </c>
      <c r="AJ30" s="4">
        <f t="shared" si="23"/>
        <v>0</v>
      </c>
      <c r="AK30" s="4">
        <f t="shared" si="24"/>
        <v>0</v>
      </c>
    </row>
    <row r="31" spans="1:37" ht="16.5" customHeight="1">
      <c r="A31" s="249"/>
      <c r="B31" s="112">
        <f>IF($A31="","",CONCATENATE(VLOOKUP($A31,seznam!$A$2:$B$40,2,FALSE)," (",VLOOKUP($A31,seznam!$A$2:$H$40,5,FALSE),")"))</f>
      </c>
      <c r="C31" s="208">
        <f>IF(Z37+Y37=0,"",CONCATENATE(Y37,":",Z37))</f>
      </c>
      <c r="D31" s="204">
        <f>IF(Y40+Z40=0,"",CONCATENATE(Y40,":",Y40))</f>
      </c>
      <c r="E31" s="204">
        <f>IF(Z29+Y29=0,"",CONCATENATE(Y29,":",Z29))</f>
      </c>
      <c r="F31" s="204" t="s">
        <v>17</v>
      </c>
      <c r="G31" s="204">
        <f>IF(Y35+Z35=0,"",CONCATENATE(Z35,":",Y35))</f>
      </c>
      <c r="H31" s="207">
        <f>IF(Z30+Y30=0,"",CONCATENATE(Y30,":",Z30))</f>
      </c>
      <c r="I31" s="190">
        <f>IF(AE29+AE30+AD35+AE37+AD40=0,"",AE29+AE30+AD35+AE37+AD40)</f>
      </c>
      <c r="J31" s="121"/>
      <c r="L31" s="4" t="str">
        <f t="shared" si="13"/>
        <v>bye - bye</v>
      </c>
      <c r="M31" s="4" t="str">
        <f t="shared" si="25"/>
        <v>Dvouhra - Skupina B</v>
      </c>
      <c r="N31" s="4">
        <f>A32</f>
        <v>0</v>
      </c>
      <c r="O31" s="4" t="str">
        <f>IF($N31=0,"bye",VLOOKUP($N31,seznam!$A$2:$C$40,2,FALSE))</f>
        <v>bye</v>
      </c>
      <c r="P31" s="4">
        <f>IF($N31=0,"",VLOOKUP($N31,seznam!$A$2:$D$40,4,FALSE))</f>
      </c>
      <c r="Q31" s="4">
        <f>A30</f>
        <v>0</v>
      </c>
      <c r="R31" s="4" t="str">
        <f>IF($Q31=0,"bye",VLOOKUP($Q31,seznam!$A$2:$C$40,2,FALSE))</f>
        <v>bye</v>
      </c>
      <c r="S31" s="4">
        <f>IF($Q31=0,"",VLOOKUP($Q31,seznam!$A$2:$D$40,4,FALSE))</f>
      </c>
      <c r="T31" s="115"/>
      <c r="U31" s="116"/>
      <c r="V31" s="116"/>
      <c r="W31" s="116"/>
      <c r="X31" s="117"/>
      <c r="Y31" s="4">
        <f t="shared" si="14"/>
        <v>0</v>
      </c>
      <c r="Z31" s="4">
        <f t="shared" si="15"/>
        <v>0</v>
      </c>
      <c r="AA31" s="4">
        <f t="shared" si="16"/>
        <v>0</v>
      </c>
      <c r="AB31" s="4">
        <f>IF($AA31=0,"",VLOOKUP($AA31,seznam!$A$2:$C$40,2,FALSE))</f>
      </c>
      <c r="AC31" s="4">
        <f t="shared" si="17"/>
      </c>
      <c r="AD31" s="4">
        <f t="shared" si="18"/>
        <v>0</v>
      </c>
      <c r="AE31" s="4">
        <f t="shared" si="19"/>
        <v>0</v>
      </c>
      <c r="AG31" s="4">
        <f t="shared" si="20"/>
        <v>0</v>
      </c>
      <c r="AH31" s="4">
        <f t="shared" si="21"/>
        <v>0</v>
      </c>
      <c r="AI31" s="4">
        <f t="shared" si="22"/>
        <v>0</v>
      </c>
      <c r="AJ31" s="4">
        <f t="shared" si="23"/>
        <v>0</v>
      </c>
      <c r="AK31" s="4">
        <f t="shared" si="24"/>
        <v>0</v>
      </c>
    </row>
    <row r="32" spans="1:37" ht="16.5" customHeight="1">
      <c r="A32" s="249"/>
      <c r="B32" s="112">
        <f>IF($A32="","",CONCATENATE(VLOOKUP($A32,seznam!$A$2:$B$40,2,FALSE)," (",VLOOKUP($A32,seznam!$A$2:$H$40,5,FALSE),")"))</f>
      </c>
      <c r="C32" s="208">
        <f>IF(Y41+Z41=0,"",CONCATENATE(Z41,":",Y41))</f>
      </c>
      <c r="D32" s="204">
        <f>IF(Z28+Y28=0,"",CONCATENATE(Z28,":",Y28))</f>
      </c>
      <c r="E32" s="204">
        <f>IF(Y31+Z31=0,"",CONCATENATE(Z31,":",Y31))</f>
      </c>
      <c r="F32" s="204">
        <f>IF(Z35+Y35=0,"",CONCATENATE(Y35,":",Z35))</f>
      </c>
      <c r="G32" s="204" t="s">
        <v>17</v>
      </c>
      <c r="H32" s="207">
        <f>IF(Z36+Y36=0,"",CONCATENATE(Y36,":",Z36))</f>
      </c>
      <c r="I32" s="190">
        <f>IF(AE28+AD31+AE35+AE36+AD41=0,"",AE28+AD31+AE35+AE36+AD41)</f>
      </c>
      <c r="J32" s="121"/>
      <c r="L32" s="4" t="str">
        <f t="shared" si="13"/>
        <v>bye - bye</v>
      </c>
      <c r="M32" s="4" t="str">
        <f t="shared" si="25"/>
        <v>Dvouhra - Skupina B</v>
      </c>
      <c r="N32" s="4">
        <f>A28</f>
        <v>0</v>
      </c>
      <c r="O32" s="4" t="str">
        <f>IF($N32=0,"bye",VLOOKUP($N32,seznam!$A$2:$C$40,2,FALSE))</f>
        <v>bye</v>
      </c>
      <c r="P32" s="4">
        <f>IF($N32=0,"",VLOOKUP($N32,seznam!$A$2:$D$40,4,FALSE))</f>
      </c>
      <c r="Q32" s="4">
        <f>A29</f>
        <v>0</v>
      </c>
      <c r="R32" s="4" t="str">
        <f>IF($Q32=0,"bye",VLOOKUP($Q32,seznam!$A$2:$C$40,2,FALSE))</f>
        <v>bye</v>
      </c>
      <c r="S32" s="4">
        <f>IF($Q32=0,"",VLOOKUP($Q32,seznam!$A$2:$D$40,4,FALSE))</f>
      </c>
      <c r="T32" s="115"/>
      <c r="U32" s="116"/>
      <c r="V32" s="116"/>
      <c r="W32" s="116"/>
      <c r="X32" s="117"/>
      <c r="Y32" s="4">
        <f t="shared" si="14"/>
        <v>0</v>
      </c>
      <c r="Z32" s="4">
        <f t="shared" si="15"/>
        <v>0</v>
      </c>
      <c r="AA32" s="4">
        <f t="shared" si="16"/>
        <v>0</v>
      </c>
      <c r="AB32" s="4">
        <f>IF($AA32=0,"",VLOOKUP($AA32,seznam!$A$2:$C$40,2,FALSE))</f>
      </c>
      <c r="AC32" s="4">
        <f t="shared" si="17"/>
      </c>
      <c r="AD32" s="4">
        <f t="shared" si="18"/>
        <v>0</v>
      </c>
      <c r="AE32" s="4">
        <f t="shared" si="19"/>
        <v>0</v>
      </c>
      <c r="AG32" s="4">
        <f t="shared" si="20"/>
        <v>0</v>
      </c>
      <c r="AH32" s="4">
        <f t="shared" si="21"/>
        <v>0</v>
      </c>
      <c r="AI32" s="4">
        <f t="shared" si="22"/>
        <v>0</v>
      </c>
      <c r="AJ32" s="4">
        <f t="shared" si="23"/>
        <v>0</v>
      </c>
      <c r="AK32" s="4">
        <f t="shared" si="24"/>
        <v>0</v>
      </c>
    </row>
    <row r="33" spans="1:37" ht="16.5" customHeight="1" thickBot="1">
      <c r="A33" s="250"/>
      <c r="B33" s="112">
        <f>IF($A33="","",CONCATENATE(VLOOKUP($A33,seznam!$A$2:$B$40,2,FALSE)," (",VLOOKUP($A33,seznam!$A$2:$H$40,5,FALSE),")"))</f>
      </c>
      <c r="C33" s="210">
        <f>IF(Z27+Y27=0,"",CONCATENATE(Y27,":",Z27))</f>
      </c>
      <c r="D33" s="211">
        <f>IF(Z33+Y33=0,"",CONCATENATE(Y33,":",Z33))</f>
      </c>
      <c r="E33" s="211">
        <f>IF(Z39+Y39=0,"",CONCATENATE(Y39,":",Z39))</f>
      </c>
      <c r="F33" s="211">
        <f>IF(Y30+Z30=0,"",CONCATENATE(Z30,":",Y30))</f>
      </c>
      <c r="G33" s="211">
        <f>IF(Y36+Z36=0,"",CONCATENATE(Z36,":",Y36))</f>
      </c>
      <c r="H33" s="212" t="s">
        <v>17</v>
      </c>
      <c r="I33" s="191">
        <f>IF(AE27+AD30+AE33+AD36+AD39=0,"",AE27+AD30+AE33+AD36+AD39)</f>
      </c>
      <c r="J33" s="124"/>
      <c r="K33" s="199" t="s">
        <v>49</v>
      </c>
      <c r="L33" s="4" t="str">
        <f t="shared" si="13"/>
        <v>bye - bye</v>
      </c>
      <c r="M33" s="4" t="str">
        <f t="shared" si="25"/>
        <v>Dvouhra - Skupina B</v>
      </c>
      <c r="N33" s="4">
        <f>A29</f>
        <v>0</v>
      </c>
      <c r="O33" s="4" t="str">
        <f>IF($N33=0,"bye",VLOOKUP($N33,seznam!$A$2:$C$40,2,FALSE))</f>
        <v>bye</v>
      </c>
      <c r="P33" s="4">
        <f>IF($N33=0,"",VLOOKUP($N33,seznam!$A$2:$D$40,4,FALSE))</f>
      </c>
      <c r="Q33" s="4">
        <f>A33</f>
        <v>0</v>
      </c>
      <c r="R33" s="4" t="str">
        <f>IF($Q33=0,"bye",VLOOKUP($Q33,seznam!$A$2:$C$40,2,FALSE))</f>
        <v>bye</v>
      </c>
      <c r="S33" s="4">
        <f>IF($Q33=0,"",VLOOKUP($Q33,seznam!$A$2:$D$40,4,FALSE))</f>
      </c>
      <c r="T33" s="115"/>
      <c r="U33" s="116"/>
      <c r="V33" s="116"/>
      <c r="W33" s="116"/>
      <c r="X33" s="117"/>
      <c r="Y33" s="4">
        <f t="shared" si="14"/>
        <v>0</v>
      </c>
      <c r="Z33" s="4">
        <f t="shared" si="15"/>
        <v>0</v>
      </c>
      <c r="AA33" s="4">
        <f t="shared" si="16"/>
        <v>0</v>
      </c>
      <c r="AB33" s="4">
        <f>IF($AA33=0,"",VLOOKUP($AA33,seznam!$A$2:$C$40,2,FALSE))</f>
      </c>
      <c r="AC33" s="4">
        <f t="shared" si="17"/>
      </c>
      <c r="AD33" s="4">
        <f t="shared" si="18"/>
        <v>0</v>
      </c>
      <c r="AE33" s="4">
        <f t="shared" si="19"/>
        <v>0</v>
      </c>
      <c r="AG33" s="4">
        <f t="shared" si="20"/>
        <v>0</v>
      </c>
      <c r="AH33" s="4">
        <f t="shared" si="21"/>
        <v>0</v>
      </c>
      <c r="AI33" s="4">
        <f t="shared" si="22"/>
        <v>0</v>
      </c>
      <c r="AJ33" s="4">
        <f t="shared" si="23"/>
        <v>0</v>
      </c>
      <c r="AK33" s="4">
        <f t="shared" si="24"/>
        <v>0</v>
      </c>
    </row>
    <row r="34" spans="12:37" ht="16.5" customHeight="1" thickTop="1">
      <c r="L34" s="4" t="str">
        <f t="shared" si="13"/>
        <v>bye - bye</v>
      </c>
      <c r="M34" s="4" t="str">
        <f t="shared" si="25"/>
        <v>Dvouhra - Skupina B</v>
      </c>
      <c r="N34" s="4">
        <f>A30</f>
        <v>0</v>
      </c>
      <c r="O34" s="4" t="str">
        <f>IF($N34=0,"bye",VLOOKUP($N34,seznam!$A$2:$C$40,2,FALSE))</f>
        <v>bye</v>
      </c>
      <c r="P34" s="4">
        <f>IF($N34=0,"",VLOOKUP($N34,seznam!$A$2:$D$40,4,FALSE))</f>
      </c>
      <c r="Q34" s="4">
        <f>A28</f>
        <v>0</v>
      </c>
      <c r="R34" s="4" t="str">
        <f>IF($Q34=0,"bye",VLOOKUP($Q34,seznam!$A$2:$C$40,2,FALSE))</f>
        <v>bye</v>
      </c>
      <c r="S34" s="4">
        <f>IF($Q34=0,"",VLOOKUP($Q34,seznam!$A$2:$D$40,4,FALSE))</f>
      </c>
      <c r="T34" s="115"/>
      <c r="U34" s="116"/>
      <c r="V34" s="116"/>
      <c r="W34" s="116"/>
      <c r="X34" s="117"/>
      <c r="Y34" s="4">
        <f t="shared" si="14"/>
        <v>0</v>
      </c>
      <c r="Z34" s="4">
        <f t="shared" si="15"/>
        <v>0</v>
      </c>
      <c r="AA34" s="4">
        <f t="shared" si="16"/>
        <v>0</v>
      </c>
      <c r="AB34" s="4">
        <f>IF($AA34=0,"",VLOOKUP($AA34,seznam!$A$2:$C$40,2,FALSE))</f>
      </c>
      <c r="AC34" s="4">
        <f t="shared" si="17"/>
      </c>
      <c r="AD34" s="4">
        <f t="shared" si="18"/>
        <v>0</v>
      </c>
      <c r="AE34" s="4">
        <f t="shared" si="19"/>
        <v>0</v>
      </c>
      <c r="AG34" s="4">
        <f t="shared" si="20"/>
        <v>0</v>
      </c>
      <c r="AH34" s="4">
        <f t="shared" si="21"/>
        <v>0</v>
      </c>
      <c r="AI34" s="4">
        <f t="shared" si="22"/>
        <v>0</v>
      </c>
      <c r="AJ34" s="4">
        <f t="shared" si="23"/>
        <v>0</v>
      </c>
      <c r="AK34" s="4">
        <f t="shared" si="24"/>
        <v>0</v>
      </c>
    </row>
    <row r="35" spans="2:37" ht="16.5" customHeight="1">
      <c r="B35" s="100"/>
      <c r="E35" s="100"/>
      <c r="L35" s="4" t="str">
        <f t="shared" si="13"/>
        <v>bye - bye</v>
      </c>
      <c r="M35" s="4" t="str">
        <f t="shared" si="25"/>
        <v>Dvouhra - Skupina B</v>
      </c>
      <c r="N35" s="4">
        <f>A31</f>
        <v>0</v>
      </c>
      <c r="O35" s="4" t="str">
        <f>IF($N35=0,"bye",VLOOKUP($N35,seznam!$A$2:$C$40,2,FALSE))</f>
        <v>bye</v>
      </c>
      <c r="P35" s="4">
        <f>IF($N35=0,"",VLOOKUP($N35,seznam!$A$2:$D$40,4,FALSE))</f>
      </c>
      <c r="Q35" s="4">
        <f>A32</f>
        <v>0</v>
      </c>
      <c r="R35" s="4" t="str">
        <f>IF($Q35=0,"bye",VLOOKUP($Q35,seznam!$A$2:$C$40,2,FALSE))</f>
        <v>bye</v>
      </c>
      <c r="S35" s="4">
        <f>IF($Q35=0,"",VLOOKUP($Q35,seznam!$A$2:$D$40,4,FALSE))</f>
      </c>
      <c r="T35" s="115"/>
      <c r="U35" s="116"/>
      <c r="V35" s="116"/>
      <c r="W35" s="116"/>
      <c r="X35" s="120"/>
      <c r="Y35" s="4">
        <f t="shared" si="14"/>
        <v>0</v>
      </c>
      <c r="Z35" s="4">
        <f t="shared" si="15"/>
        <v>0</v>
      </c>
      <c r="AA35" s="4">
        <f t="shared" si="16"/>
        <v>0</v>
      </c>
      <c r="AB35" s="4">
        <f>IF($AA35=0,"",VLOOKUP($AA35,seznam!$A$2:$C$40,2,FALSE))</f>
      </c>
      <c r="AC35" s="4">
        <f t="shared" si="17"/>
      </c>
      <c r="AD35" s="4">
        <f t="shared" si="18"/>
        <v>0</v>
      </c>
      <c r="AE35" s="4">
        <f t="shared" si="19"/>
        <v>0</v>
      </c>
      <c r="AG35" s="4">
        <f t="shared" si="20"/>
        <v>0</v>
      </c>
      <c r="AH35" s="4">
        <f t="shared" si="21"/>
        <v>0</v>
      </c>
      <c r="AI35" s="4">
        <f t="shared" si="22"/>
        <v>0</v>
      </c>
      <c r="AJ35" s="4">
        <f t="shared" si="23"/>
        <v>0</v>
      </c>
      <c r="AK35" s="4">
        <f t="shared" si="24"/>
        <v>0</v>
      </c>
    </row>
    <row r="36" spans="3:37" ht="16.5" customHeight="1">
      <c r="C36" s="99"/>
      <c r="I36" s="99"/>
      <c r="K36" s="199" t="s">
        <v>52</v>
      </c>
      <c r="L36" s="4" t="str">
        <f t="shared" si="13"/>
        <v>bye - bye</v>
      </c>
      <c r="M36" s="4" t="str">
        <f t="shared" si="25"/>
        <v>Dvouhra - Skupina B</v>
      </c>
      <c r="N36" s="4">
        <f>A33</f>
        <v>0</v>
      </c>
      <c r="O36" s="4" t="str">
        <f>IF($N36=0,"bye",VLOOKUP($N36,seznam!$A$2:$C$40,2,FALSE))</f>
        <v>bye</v>
      </c>
      <c r="P36" s="4">
        <f>IF($N36=0,"",VLOOKUP($N36,seznam!$A$2:$D$40,4,FALSE))</f>
      </c>
      <c r="Q36" s="4">
        <f>A32</f>
        <v>0</v>
      </c>
      <c r="R36" s="4" t="str">
        <f>IF($Q36=0,"bye",VLOOKUP($Q36,seznam!$A$2:$C$40,2,FALSE))</f>
        <v>bye</v>
      </c>
      <c r="S36" s="4">
        <f>IF($Q36=0,"",VLOOKUP($Q36,seznam!$A$2:$D$40,4,FALSE))</f>
      </c>
      <c r="T36" s="115"/>
      <c r="U36" s="116"/>
      <c r="V36" s="116"/>
      <c r="W36" s="116"/>
      <c r="X36" s="120"/>
      <c r="Y36" s="4">
        <f t="shared" si="14"/>
        <v>0</v>
      </c>
      <c r="Z36" s="4">
        <f t="shared" si="15"/>
        <v>0</v>
      </c>
      <c r="AA36" s="4">
        <f t="shared" si="16"/>
        <v>0</v>
      </c>
      <c r="AB36" s="4">
        <f>IF($AA36=0,"",VLOOKUP($AA36,seznam!$A$2:$C$40,2,FALSE))</f>
      </c>
      <c r="AC36" s="4">
        <f t="shared" si="17"/>
      </c>
      <c r="AD36" s="4">
        <f t="shared" si="18"/>
        <v>0</v>
      </c>
      <c r="AE36" s="4">
        <f t="shared" si="19"/>
        <v>0</v>
      </c>
      <c r="AG36" s="4">
        <f t="shared" si="20"/>
        <v>0</v>
      </c>
      <c r="AH36" s="4">
        <f t="shared" si="21"/>
        <v>0</v>
      </c>
      <c r="AI36" s="4">
        <f t="shared" si="22"/>
        <v>0</v>
      </c>
      <c r="AJ36" s="4">
        <f t="shared" si="23"/>
        <v>0</v>
      </c>
      <c r="AK36" s="4">
        <f t="shared" si="24"/>
        <v>0</v>
      </c>
    </row>
    <row r="37" spans="3:37" ht="16.5" customHeight="1">
      <c r="C37" s="99"/>
      <c r="I37" s="99"/>
      <c r="L37" s="4" t="str">
        <f t="shared" si="13"/>
        <v>bye - bye</v>
      </c>
      <c r="M37" s="4" t="str">
        <f t="shared" si="25"/>
        <v>Dvouhra - Skupina B</v>
      </c>
      <c r="N37" s="4">
        <f>A28</f>
        <v>0</v>
      </c>
      <c r="O37" s="4" t="str">
        <f>IF($N37=0,"bye",VLOOKUP($N37,seznam!$A$2:$C$40,2,FALSE))</f>
        <v>bye</v>
      </c>
      <c r="P37" s="4">
        <f>IF($N37=0,"",VLOOKUP($N37,seznam!$A$2:$D$40,4,FALSE))</f>
      </c>
      <c r="Q37" s="4">
        <f>A31</f>
        <v>0</v>
      </c>
      <c r="R37" s="4" t="str">
        <f>IF($Q37=0,"bye",VLOOKUP($Q37,seznam!$A$2:$C$40,2,FALSE))</f>
        <v>bye</v>
      </c>
      <c r="S37" s="4">
        <f>IF($Q37=0,"",VLOOKUP($Q37,seznam!$A$2:$D$40,4,FALSE))</f>
      </c>
      <c r="T37" s="115"/>
      <c r="U37" s="116"/>
      <c r="V37" s="116"/>
      <c r="W37" s="116"/>
      <c r="X37" s="117"/>
      <c r="Y37" s="4">
        <f t="shared" si="14"/>
        <v>0</v>
      </c>
      <c r="Z37" s="4">
        <f t="shared" si="15"/>
        <v>0</v>
      </c>
      <c r="AA37" s="4">
        <f t="shared" si="16"/>
        <v>0</v>
      </c>
      <c r="AB37" s="4">
        <f>IF($AA37=0,"",VLOOKUP($AA37,seznam!$A$2:$C$40,2,FALSE))</f>
      </c>
      <c r="AC37" s="4">
        <f t="shared" si="17"/>
      </c>
      <c r="AD37" s="4">
        <f t="shared" si="18"/>
        <v>0</v>
      </c>
      <c r="AE37" s="4">
        <f t="shared" si="19"/>
        <v>0</v>
      </c>
      <c r="AG37" s="4">
        <f t="shared" si="20"/>
        <v>0</v>
      </c>
      <c r="AH37" s="4">
        <f t="shared" si="21"/>
        <v>0</v>
      </c>
      <c r="AI37" s="4">
        <f t="shared" si="22"/>
        <v>0</v>
      </c>
      <c r="AJ37" s="4">
        <f t="shared" si="23"/>
        <v>0</v>
      </c>
      <c r="AK37" s="4">
        <f t="shared" si="24"/>
        <v>0</v>
      </c>
    </row>
    <row r="38" spans="3:37" ht="16.5" customHeight="1">
      <c r="C38" s="99"/>
      <c r="I38" s="99"/>
      <c r="L38" s="4" t="str">
        <f t="shared" si="13"/>
        <v>bye - bye</v>
      </c>
      <c r="M38" s="4" t="str">
        <f t="shared" si="25"/>
        <v>Dvouhra - Skupina B</v>
      </c>
      <c r="N38" s="4">
        <f>A29</f>
        <v>0</v>
      </c>
      <c r="O38" s="4" t="str">
        <f>IF($N38=0,"bye",VLOOKUP($N38,seznam!$A$2:$C$40,2,FALSE))</f>
        <v>bye</v>
      </c>
      <c r="P38" s="4">
        <f>IF($N38=0,"",VLOOKUP($N38,seznam!$A$2:$D$40,4,FALSE))</f>
      </c>
      <c r="Q38" s="4">
        <f>A30</f>
        <v>0</v>
      </c>
      <c r="R38" s="4" t="str">
        <f>IF($Q38=0,"bye",VLOOKUP($Q38,seznam!$A$2:$C$40,2,FALSE))</f>
        <v>bye</v>
      </c>
      <c r="S38" s="4">
        <f>IF($Q38=0,"",VLOOKUP($Q38,seznam!$A$2:$D$40,4,FALSE))</f>
      </c>
      <c r="T38" s="115"/>
      <c r="U38" s="116"/>
      <c r="V38" s="116"/>
      <c r="W38" s="116"/>
      <c r="X38" s="117"/>
      <c r="Y38" s="4">
        <f t="shared" si="14"/>
        <v>0</v>
      </c>
      <c r="Z38" s="4">
        <f t="shared" si="15"/>
        <v>0</v>
      </c>
      <c r="AA38" s="4">
        <f t="shared" si="16"/>
        <v>0</v>
      </c>
      <c r="AB38" s="4">
        <f>IF($AA38=0,"",VLOOKUP($AA38,seznam!$A$2:$C$40,2,FALSE))</f>
      </c>
      <c r="AC38" s="4">
        <f t="shared" si="17"/>
      </c>
      <c r="AD38" s="4">
        <f t="shared" si="18"/>
        <v>0</v>
      </c>
      <c r="AE38" s="4">
        <f t="shared" si="19"/>
        <v>0</v>
      </c>
      <c r="AG38" s="4">
        <f t="shared" si="20"/>
        <v>0</v>
      </c>
      <c r="AH38" s="4">
        <f t="shared" si="21"/>
        <v>0</v>
      </c>
      <c r="AI38" s="4">
        <f t="shared" si="22"/>
        <v>0</v>
      </c>
      <c r="AJ38" s="4">
        <f t="shared" si="23"/>
        <v>0</v>
      </c>
      <c r="AK38" s="4">
        <f t="shared" si="24"/>
        <v>0</v>
      </c>
    </row>
    <row r="39" spans="2:37" ht="16.5" customHeight="1">
      <c r="B39" s="100"/>
      <c r="E39" s="100"/>
      <c r="K39" s="199" t="s">
        <v>50</v>
      </c>
      <c r="L39" s="4" t="str">
        <f t="shared" si="13"/>
        <v>bye - bye</v>
      </c>
      <c r="M39" s="4" t="str">
        <f t="shared" si="25"/>
        <v>Dvouhra - Skupina B</v>
      </c>
      <c r="N39" s="4">
        <f>A30</f>
        <v>0</v>
      </c>
      <c r="O39" s="4" t="str">
        <f>IF($N39=0,"bye",VLOOKUP($N39,seznam!$A$2:$C$40,2,FALSE))</f>
        <v>bye</v>
      </c>
      <c r="P39" s="4">
        <f>IF($N39=0,"",VLOOKUP($N39,seznam!$A$2:$D$40,4,FALSE))</f>
      </c>
      <c r="Q39" s="4">
        <f>A33</f>
        <v>0</v>
      </c>
      <c r="R39" s="4" t="str">
        <f>IF($Q39=0,"bye",VLOOKUP($Q39,seznam!$A$2:$C$40,2,FALSE))</f>
        <v>bye</v>
      </c>
      <c r="S39" s="4">
        <f>IF($Q39=0,"",VLOOKUP($Q39,seznam!$A$2:$D$40,4,FALSE))</f>
      </c>
      <c r="T39" s="115"/>
      <c r="U39" s="116"/>
      <c r="V39" s="116"/>
      <c r="W39" s="116"/>
      <c r="X39" s="117"/>
      <c r="Y39" s="4">
        <f t="shared" si="14"/>
        <v>0</v>
      </c>
      <c r="Z39" s="4">
        <f t="shared" si="15"/>
        <v>0</v>
      </c>
      <c r="AA39" s="4">
        <f t="shared" si="16"/>
        <v>0</v>
      </c>
      <c r="AB39" s="4">
        <f>IF($AA39=0,"",VLOOKUP($AA39,seznam!$A$2:$C$40,2,FALSE))</f>
      </c>
      <c r="AC39" s="4">
        <f t="shared" si="17"/>
      </c>
      <c r="AD39" s="4">
        <f t="shared" si="18"/>
        <v>0</v>
      </c>
      <c r="AE39" s="4">
        <f t="shared" si="19"/>
        <v>0</v>
      </c>
      <c r="AG39" s="4">
        <f t="shared" si="20"/>
        <v>0</v>
      </c>
      <c r="AH39" s="4">
        <f t="shared" si="21"/>
        <v>0</v>
      </c>
      <c r="AI39" s="4">
        <f t="shared" si="22"/>
        <v>0</v>
      </c>
      <c r="AJ39" s="4">
        <f t="shared" si="23"/>
        <v>0</v>
      </c>
      <c r="AK39" s="4">
        <f t="shared" si="24"/>
        <v>0</v>
      </c>
    </row>
    <row r="40" spans="3:37" ht="16.5" customHeight="1">
      <c r="C40" s="99"/>
      <c r="L40" s="4" t="str">
        <f t="shared" si="13"/>
        <v>bye - bye</v>
      </c>
      <c r="M40" s="4" t="str">
        <f t="shared" si="25"/>
        <v>Dvouhra - Skupina B</v>
      </c>
      <c r="N40" s="4">
        <f>A31</f>
        <v>0</v>
      </c>
      <c r="O40" s="4" t="str">
        <f>IF($N40=0,"bye",VLOOKUP($N40,seznam!$A$2:$C$40,2,FALSE))</f>
        <v>bye</v>
      </c>
      <c r="P40" s="4">
        <f>IF($N40=0,"",VLOOKUP($N40,seznam!$A$2:$D$40,4,FALSE))</f>
      </c>
      <c r="Q40" s="4">
        <f>A29</f>
        <v>0</v>
      </c>
      <c r="R40" s="4" t="str">
        <f>IF($Q40=0,"bye",VLOOKUP($Q40,seznam!$A$2:$C$40,2,FALSE))</f>
        <v>bye</v>
      </c>
      <c r="S40" s="4">
        <f>IF($Q40=0,"",VLOOKUP($Q40,seznam!$A$2:$D$40,4,FALSE))</f>
      </c>
      <c r="T40" s="115"/>
      <c r="U40" s="116"/>
      <c r="V40" s="116"/>
      <c r="W40" s="116"/>
      <c r="X40" s="120"/>
      <c r="Y40" s="4">
        <f t="shared" si="14"/>
        <v>0</v>
      </c>
      <c r="Z40" s="4">
        <f t="shared" si="15"/>
        <v>0</v>
      </c>
      <c r="AA40" s="4">
        <f t="shared" si="16"/>
        <v>0</v>
      </c>
      <c r="AB40" s="4">
        <f>IF($AA40=0,"",VLOOKUP($AA40,seznam!$A$2:$C$40,2,FALSE))</f>
      </c>
      <c r="AC40" s="4">
        <f t="shared" si="17"/>
      </c>
      <c r="AD40" s="4">
        <f t="shared" si="18"/>
        <v>0</v>
      </c>
      <c r="AE40" s="4">
        <f t="shared" si="19"/>
        <v>0</v>
      </c>
      <c r="AG40" s="4">
        <f t="shared" si="20"/>
        <v>0</v>
      </c>
      <c r="AH40" s="4">
        <f t="shared" si="21"/>
        <v>0</v>
      </c>
      <c r="AI40" s="4">
        <f t="shared" si="22"/>
        <v>0</v>
      </c>
      <c r="AJ40" s="4">
        <f t="shared" si="23"/>
        <v>0</v>
      </c>
      <c r="AK40" s="4">
        <f t="shared" si="24"/>
        <v>0</v>
      </c>
    </row>
    <row r="41" spans="3:37" ht="16.5" customHeight="1" thickBot="1">
      <c r="C41" s="99"/>
      <c r="L41" s="4" t="str">
        <f t="shared" si="13"/>
        <v>bye - bye</v>
      </c>
      <c r="M41" s="4" t="str">
        <f t="shared" si="25"/>
        <v>Dvouhra - Skupina B</v>
      </c>
      <c r="N41" s="4">
        <f>A32</f>
        <v>0</v>
      </c>
      <c r="O41" s="4" t="str">
        <f>IF($N41=0,"bye",VLOOKUP($N41,seznam!$A$2:$C$40,2,FALSE))</f>
        <v>bye</v>
      </c>
      <c r="P41" s="4">
        <f>IF($N41=0,"",VLOOKUP($N41,seznam!$A$2:$D$40,4,FALSE))</f>
      </c>
      <c r="Q41" s="4">
        <f>A28</f>
        <v>0</v>
      </c>
      <c r="R41" s="4" t="str">
        <f>IF($Q41=0,"bye",VLOOKUP($Q41,seznam!$A$2:$C$40,2,FALSE))</f>
        <v>bye</v>
      </c>
      <c r="S41" s="4">
        <f>IF($Q41=0,"",VLOOKUP($Q41,seznam!$A$2:$D$40,4,FALSE))</f>
      </c>
      <c r="T41" s="125"/>
      <c r="U41" s="126"/>
      <c r="V41" s="126"/>
      <c r="W41" s="126"/>
      <c r="X41" s="128"/>
      <c r="Y41" s="4">
        <f t="shared" si="14"/>
        <v>0</v>
      </c>
      <c r="Z41" s="4">
        <f t="shared" si="15"/>
        <v>0</v>
      </c>
      <c r="AA41" s="4">
        <f t="shared" si="16"/>
        <v>0</v>
      </c>
      <c r="AB41" s="4">
        <f>IF($AA41=0,"",VLOOKUP($AA41,seznam!$A$2:$C$40,2,FALSE))</f>
      </c>
      <c r="AC41" s="4">
        <f t="shared" si="17"/>
      </c>
      <c r="AD41" s="4">
        <f t="shared" si="18"/>
        <v>0</v>
      </c>
      <c r="AE41" s="4">
        <f t="shared" si="19"/>
        <v>0</v>
      </c>
      <c r="AG41" s="4">
        <f t="shared" si="20"/>
        <v>0</v>
      </c>
      <c r="AH41" s="4">
        <f t="shared" si="21"/>
        <v>0</v>
      </c>
      <c r="AI41" s="4">
        <f t="shared" si="22"/>
        <v>0</v>
      </c>
      <c r="AJ41" s="4">
        <f t="shared" si="23"/>
        <v>0</v>
      </c>
      <c r="AK41" s="4">
        <f t="shared" si="24"/>
        <v>0</v>
      </c>
    </row>
    <row r="42" spans="3:27" ht="16.5" customHeight="1" thickTop="1">
      <c r="C42" s="99"/>
      <c r="M42" s="100"/>
      <c r="N42" s="100"/>
      <c r="O42" s="100"/>
      <c r="P42" s="100"/>
      <c r="Q42" s="100"/>
      <c r="R42" s="100"/>
      <c r="S42" s="100"/>
      <c r="Y42" s="100"/>
      <c r="Z42" s="100"/>
      <c r="AA42" s="100"/>
    </row>
    <row r="43" ht="16.5" customHeight="1">
      <c r="B43" s="100"/>
    </row>
    <row r="44" ht="16.5" customHeight="1"/>
    <row r="45" ht="16.5" customHeight="1"/>
    <row r="46" ht="16.5" customHeight="1"/>
    <row r="47" ht="16.5" customHeight="1"/>
    <row r="48" spans="1:12" ht="16.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L48" s="54" t="str">
        <f>CONCATENATE("Dvouhra - ",seznam!G2)</f>
        <v>Dvouhra - Zimní cena Jižního Města nejmladšího žactva</v>
      </c>
    </row>
    <row r="49" spans="1:12" ht="16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213"/>
      <c r="L49" s="97">
        <f>seznam!H2</f>
        <v>41336</v>
      </c>
    </row>
    <row r="50" spans="1:11" ht="16.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213"/>
    </row>
    <row r="51" spans="1:27" ht="16.5" customHeight="1" thickBot="1">
      <c r="A51" s="3"/>
      <c r="B51" s="3"/>
      <c r="C51" s="5"/>
      <c r="D51" s="3"/>
      <c r="E51" s="3"/>
      <c r="F51" s="3"/>
      <c r="G51" s="3"/>
      <c r="H51" s="3"/>
      <c r="I51" s="7"/>
      <c r="M51" s="100" t="str">
        <f>B52</f>
        <v>Skupina C</v>
      </c>
      <c r="N51" s="100" t="s">
        <v>3</v>
      </c>
      <c r="O51" s="100" t="s">
        <v>46</v>
      </c>
      <c r="P51" s="100" t="s">
        <v>4</v>
      </c>
      <c r="Q51" s="100" t="s">
        <v>3</v>
      </c>
      <c r="R51" s="100" t="s">
        <v>47</v>
      </c>
      <c r="S51" s="100" t="s">
        <v>4</v>
      </c>
      <c r="T51" s="101" t="s">
        <v>5</v>
      </c>
      <c r="U51" s="101" t="s">
        <v>6</v>
      </c>
      <c r="V51" s="101" t="s">
        <v>7</v>
      </c>
      <c r="W51" s="101" t="s">
        <v>8</v>
      </c>
      <c r="X51" s="101" t="s">
        <v>9</v>
      </c>
      <c r="Y51" s="100" t="s">
        <v>10</v>
      </c>
      <c r="Z51" s="100" t="s">
        <v>11</v>
      </c>
      <c r="AA51" s="100" t="s">
        <v>12</v>
      </c>
    </row>
    <row r="52" spans="1:37" ht="16.5" customHeight="1" thickBot="1" thickTop="1">
      <c r="A52" s="102"/>
      <c r="B52" s="103" t="s">
        <v>19</v>
      </c>
      <c r="C52" s="104">
        <v>1</v>
      </c>
      <c r="D52" s="105">
        <v>2</v>
      </c>
      <c r="E52" s="105">
        <v>3</v>
      </c>
      <c r="F52" s="106">
        <v>4</v>
      </c>
      <c r="G52" s="106">
        <v>5</v>
      </c>
      <c r="H52" s="107">
        <v>6</v>
      </c>
      <c r="I52" s="108" t="s">
        <v>15</v>
      </c>
      <c r="J52" s="107" t="s">
        <v>16</v>
      </c>
      <c r="K52" s="199" t="s">
        <v>48</v>
      </c>
      <c r="L52" s="4" t="str">
        <f aca="true" t="shared" si="26" ref="L52:L66">CONCATENATE(O52," - ",R52)</f>
        <v>bye - bye</v>
      </c>
      <c r="M52" s="4" t="str">
        <f>CONCATENATE("Dvouhra - Skupina C")</f>
        <v>Dvouhra - Skupina C</v>
      </c>
      <c r="N52" s="4">
        <f>A53</f>
        <v>0</v>
      </c>
      <c r="O52" s="4" t="str">
        <f>IF($N52=0,"bye",VLOOKUP($N52,seznam!$A$2:$C$40,2,FALSE))</f>
        <v>bye</v>
      </c>
      <c r="P52" s="4">
        <f>IF($N52=0,"",VLOOKUP($N52,seznam!$A$2:$D$40,4,FALSE))</f>
      </c>
      <c r="Q52" s="4">
        <f>A58</f>
        <v>0</v>
      </c>
      <c r="R52" s="4" t="str">
        <f>IF($Q52=0,"bye",VLOOKUP($Q52,seznam!$A$2:$C$40,2,FALSE))</f>
        <v>bye</v>
      </c>
      <c r="S52" s="4">
        <f>IF($Q52=0,"",VLOOKUP($Q52,seznam!$A$2:$D$40,4,FALSE))</f>
      </c>
      <c r="T52" s="109"/>
      <c r="U52" s="110"/>
      <c r="V52" s="110"/>
      <c r="W52" s="110"/>
      <c r="X52" s="111"/>
      <c r="Y52" s="4">
        <f aca="true" t="shared" si="27" ref="Y52:Y66">COUNTIF(AG52:AK52,"&gt;0")</f>
        <v>0</v>
      </c>
      <c r="Z52" s="4">
        <f aca="true" t="shared" si="28" ref="Z52:Z66">COUNTIF(AG52:AK52,"&lt;0")</f>
        <v>0</v>
      </c>
      <c r="AA52" s="4">
        <f aca="true" t="shared" si="29" ref="AA52:AA66">IF(Y52=Z52,0,IF(Y52&gt;Z52,N52,Q52))</f>
        <v>0</v>
      </c>
      <c r="AB52" s="4">
        <f>IF($AA52=0,"",VLOOKUP($AA52,seznam!$A$2:$C$40,2,FALSE))</f>
      </c>
      <c r="AC52" s="4">
        <f aca="true" t="shared" si="30" ref="AC52:AC66">IF(Y52=Z52,"",IF(Y52&gt;Z52,CONCATENATE(Y52,":",Z52," (",T52,",",U52,",",V52,IF(SUM(Y52:Z52)&gt;3,",",""),W52,IF(SUM(Y52:Z52)&gt;4,",",""),X52,")"),CONCATENATE(Z52,":",Y52," (",-T52,",",-U52,",",-V52,IF(SUM(Y52:Z52)&gt;3,CONCATENATE(",",-W52),""),IF(SUM(Y52:Z52)&gt;4,CONCATENATE(",",-X52),""),")")))</f>
      </c>
      <c r="AD52" s="4">
        <f aca="true" t="shared" si="31" ref="AD52:AD66">IF(T52="",0,IF(Y52&gt;Z52,2,1))</f>
        <v>0</v>
      </c>
      <c r="AE52" s="4">
        <f aca="true" t="shared" si="32" ref="AE52:AE66">IF(T52="",0,IF(Z52&gt;Y52,2,1))</f>
        <v>0</v>
      </c>
      <c r="AG52" s="4">
        <f aca="true" t="shared" si="33" ref="AG52:AG66">IF(T52="",0,IF(MID(T52,1,1)="-",-1,1))</f>
        <v>0</v>
      </c>
      <c r="AH52" s="4">
        <f aca="true" t="shared" si="34" ref="AH52:AH66">IF(U52="",0,IF(MID(U52,1,1)="-",-1,1))</f>
        <v>0</v>
      </c>
      <c r="AI52" s="4">
        <f aca="true" t="shared" si="35" ref="AI52:AI66">IF(V52="",0,IF(MID(V52,1,1)="-",-1,1))</f>
        <v>0</v>
      </c>
      <c r="AJ52" s="4">
        <f aca="true" t="shared" si="36" ref="AJ52:AJ66">IF(W52="",0,IF(MID(W52,1,1)="-",-1,1))</f>
        <v>0</v>
      </c>
      <c r="AK52" s="4">
        <f aca="true" t="shared" si="37" ref="AK52:AK66">IF(X52="",0,IF(MID(X52,1,1)="-",-1,1))</f>
        <v>0</v>
      </c>
    </row>
    <row r="53" spans="1:37" ht="16.5" customHeight="1" thickTop="1">
      <c r="A53" s="247"/>
      <c r="B53" s="112">
        <f>IF($A53="","",CONCATENATE(VLOOKUP($A53,seznam!$A$2:$B$40,2,FALSE)," (",VLOOKUP($A53,seznam!$A$2:$H$40,5,FALSE),")"))</f>
      </c>
      <c r="C53" s="203" t="s">
        <v>17</v>
      </c>
      <c r="D53" s="205">
        <f>IF(Y57+Z57=0,"",CONCATENATE(Z57,":",Y57))</f>
      </c>
      <c r="E53" s="205">
        <f>IF(Z59+Y59=0,"",CONCATENATE(Y59,":",Z59))</f>
      </c>
      <c r="F53" s="205">
        <f>IF(Y62+Z62=0,"",CONCATENATE(Z62,":",Y62))</f>
      </c>
      <c r="G53" s="205">
        <f>IF(Z66+Y66=0,"",CONCATENATE(Y66,":",Z66))</f>
      </c>
      <c r="H53" s="206">
        <f>IF(Y52+Z52=0,"",CONCATENATE(Z52,":",Y52))</f>
      </c>
      <c r="I53" s="192">
        <f>IF(AD52+AD57+AE59+AD62+AE66=0,"",AD52+AD57+AE59+AD62+AE66)</f>
      </c>
      <c r="J53" s="114"/>
      <c r="L53" s="4" t="str">
        <f t="shared" si="26"/>
        <v>bye - bye</v>
      </c>
      <c r="M53" s="4" t="str">
        <f aca="true" t="shared" si="38" ref="M53:M66">CONCATENATE("Dvouhra - Skupina C")</f>
        <v>Dvouhra - Skupina C</v>
      </c>
      <c r="N53" s="4">
        <f>A54</f>
        <v>0</v>
      </c>
      <c r="O53" s="4" t="str">
        <f>IF($N53=0,"bye",VLOOKUP($N53,seznam!$A$2:$C$40,2,FALSE))</f>
        <v>bye</v>
      </c>
      <c r="P53" s="4">
        <f>IF($N53=0,"",VLOOKUP($N53,seznam!$A$2:$D$40,4,FALSE))</f>
      </c>
      <c r="Q53" s="4">
        <f>A57</f>
        <v>0</v>
      </c>
      <c r="R53" s="4" t="str">
        <f>IF($Q53=0,"bye",VLOOKUP($Q53,seznam!$A$2:$C$40,2,FALSE))</f>
        <v>bye</v>
      </c>
      <c r="S53" s="4">
        <f>IF($Q53=0,"",VLOOKUP($Q53,seznam!$A$2:$D$40,4,FALSE))</f>
      </c>
      <c r="T53" s="115"/>
      <c r="U53" s="116"/>
      <c r="V53" s="116"/>
      <c r="W53" s="116"/>
      <c r="X53" s="117"/>
      <c r="Y53" s="4">
        <f t="shared" si="27"/>
        <v>0</v>
      </c>
      <c r="Z53" s="4">
        <f t="shared" si="28"/>
        <v>0</v>
      </c>
      <c r="AA53" s="4">
        <f t="shared" si="29"/>
        <v>0</v>
      </c>
      <c r="AB53" s="4">
        <f>IF($AA53=0,"",VLOOKUP($AA53,seznam!$A$2:$C$40,2,FALSE))</f>
      </c>
      <c r="AC53" s="4">
        <f t="shared" si="30"/>
      </c>
      <c r="AD53" s="4">
        <f t="shared" si="31"/>
        <v>0</v>
      </c>
      <c r="AE53" s="4">
        <f t="shared" si="32"/>
        <v>0</v>
      </c>
      <c r="AG53" s="4">
        <f t="shared" si="33"/>
        <v>0</v>
      </c>
      <c r="AH53" s="4">
        <f t="shared" si="34"/>
        <v>0</v>
      </c>
      <c r="AI53" s="4">
        <f t="shared" si="35"/>
        <v>0</v>
      </c>
      <c r="AJ53" s="4">
        <f t="shared" si="36"/>
        <v>0</v>
      </c>
      <c r="AK53" s="4">
        <f t="shared" si="37"/>
        <v>0</v>
      </c>
    </row>
    <row r="54" spans="1:37" ht="16.5" customHeight="1">
      <c r="A54" s="248"/>
      <c r="B54" s="112">
        <f>IF($A54="","",CONCATENATE(VLOOKUP($A54,seznam!$A$2:$B$40,2,FALSE)," (",VLOOKUP($A54,seznam!$A$2:$H$40,5,FALSE),")"))</f>
      </c>
      <c r="C54" s="208">
        <f>IF(Z57+Y57=0,"",CONCATENATE(Y57,":",Z57))</f>
      </c>
      <c r="D54" s="204" t="s">
        <v>17</v>
      </c>
      <c r="E54" s="204">
        <f>IF(Y63+Z63=0,"",CONCATENATE(Z63,":",Y63))</f>
      </c>
      <c r="F54" s="204">
        <f>IF(Z65+Y65=0,"",CONCATENATE(Y65,":",Z65))</f>
      </c>
      <c r="G54" s="204">
        <f>IF(Y53+Z53=0,"",CONCATENATE(Y53,":",Z53))</f>
      </c>
      <c r="H54" s="207">
        <f>IF(Y58+Z58=0,"",CONCATENATE(Z58,":",Y58))</f>
      </c>
      <c r="I54" s="190">
        <f>IF(AD53+AE57+AD58+AD63+AE65=0,"",AD53+AE57+AD58+AD63+AE65)</f>
      </c>
      <c r="J54" s="119"/>
      <c r="L54" s="4" t="str">
        <f t="shared" si="26"/>
        <v>bye - bye</v>
      </c>
      <c r="M54" s="4" t="str">
        <f t="shared" si="38"/>
        <v>Dvouhra - Skupina C</v>
      </c>
      <c r="N54" s="4">
        <f>A55</f>
        <v>0</v>
      </c>
      <c r="O54" s="4" t="str">
        <f>IF($N54=0,"bye",VLOOKUP($N54,seznam!$A$2:$C$40,2,FALSE))</f>
        <v>bye</v>
      </c>
      <c r="P54" s="4">
        <f>IF($N54=0,"",VLOOKUP($N54,seznam!$A$2:$D$40,4,FALSE))</f>
      </c>
      <c r="Q54" s="4">
        <f>A56</f>
        <v>0</v>
      </c>
      <c r="R54" s="4" t="str">
        <f>IF($Q54=0,"bye",VLOOKUP($Q54,seznam!$A$2:$C$40,2,FALSE))</f>
        <v>bye</v>
      </c>
      <c r="S54" s="4">
        <f>IF($Q54=0,"",VLOOKUP($Q54,seznam!$A$2:$D$40,4,FALSE))</f>
      </c>
      <c r="T54" s="115"/>
      <c r="U54" s="116"/>
      <c r="V54" s="116"/>
      <c r="W54" s="116"/>
      <c r="X54" s="117"/>
      <c r="Y54" s="4">
        <f t="shared" si="27"/>
        <v>0</v>
      </c>
      <c r="Z54" s="4">
        <f t="shared" si="28"/>
        <v>0</v>
      </c>
      <c r="AA54" s="4">
        <f t="shared" si="29"/>
        <v>0</v>
      </c>
      <c r="AB54" s="4">
        <f>IF($AA54=0,"",VLOOKUP($AA54,seznam!$A$2:$C$40,2,FALSE))</f>
      </c>
      <c r="AC54" s="4">
        <f t="shared" si="30"/>
      </c>
      <c r="AD54" s="4">
        <f t="shared" si="31"/>
        <v>0</v>
      </c>
      <c r="AE54" s="4">
        <f t="shared" si="32"/>
        <v>0</v>
      </c>
      <c r="AG54" s="4">
        <f t="shared" si="33"/>
        <v>0</v>
      </c>
      <c r="AH54" s="4">
        <f t="shared" si="34"/>
        <v>0</v>
      </c>
      <c r="AI54" s="4">
        <f t="shared" si="35"/>
        <v>0</v>
      </c>
      <c r="AJ54" s="4">
        <f t="shared" si="36"/>
        <v>0</v>
      </c>
      <c r="AK54" s="4">
        <f t="shared" si="37"/>
        <v>0</v>
      </c>
    </row>
    <row r="55" spans="1:37" ht="16.5" customHeight="1">
      <c r="A55" s="248"/>
      <c r="B55" s="112">
        <f>IF($A55="","",CONCATENATE(VLOOKUP($A55,seznam!$A$2:$B$40,2,FALSE)," (",VLOOKUP($A55,seznam!$A$2:$H$40,5,FALSE),")"))</f>
      </c>
      <c r="C55" s="208">
        <f>IF(Y59+Z59=0,"",CONCATENATE(Z59,":",Y59))</f>
      </c>
      <c r="D55" s="204">
        <f>IF(Z63+Y63=0,"",CONCATENATE(Y63,":",Z63))</f>
      </c>
      <c r="E55" s="204" t="s">
        <v>17</v>
      </c>
      <c r="F55" s="204">
        <f>IF(Y54+Z54=0,"",CONCATENATE(Z54,":",Y54))</f>
      </c>
      <c r="G55" s="204">
        <f>IF(Z56+Y56=0,"",CONCATENATE(Y56,":",Z56))</f>
      </c>
      <c r="H55" s="207">
        <f>IF(Y64+Z64=0,"",CONCATENATE(Z64,":",Y64))</f>
      </c>
      <c r="I55" s="190">
        <f>IF(AD54+AE56+AD59+AE63+AD64=0,"",AD54+AE56+AD59+AE63+AD64)</f>
      </c>
      <c r="J55" s="119"/>
      <c r="K55" s="199" t="s">
        <v>51</v>
      </c>
      <c r="L55" s="4" t="str">
        <f t="shared" si="26"/>
        <v>bye - bye</v>
      </c>
      <c r="M55" s="4" t="str">
        <f t="shared" si="38"/>
        <v>Dvouhra - Skupina C</v>
      </c>
      <c r="N55" s="4">
        <f>A58</f>
        <v>0</v>
      </c>
      <c r="O55" s="4" t="str">
        <f>IF($N55=0,"bye",VLOOKUP($N55,seznam!$A$2:$C$40,2,FALSE))</f>
        <v>bye</v>
      </c>
      <c r="P55" s="4">
        <f>IF($N55=0,"",VLOOKUP($N55,seznam!$A$2:$D$40,4,FALSE))</f>
      </c>
      <c r="Q55" s="4">
        <f>A56</f>
        <v>0</v>
      </c>
      <c r="R55" s="4" t="str">
        <f>IF($Q55=0,"bye",VLOOKUP($Q55,seznam!$A$2:$C$40,2,FALSE))</f>
        <v>bye</v>
      </c>
      <c r="S55" s="4">
        <f>IF($Q55=0,"",VLOOKUP($Q55,seznam!$A$2:$D$40,4,FALSE))</f>
      </c>
      <c r="T55" s="115"/>
      <c r="U55" s="116"/>
      <c r="V55" s="116"/>
      <c r="W55" s="116"/>
      <c r="X55" s="117"/>
      <c r="Y55" s="4">
        <f t="shared" si="27"/>
        <v>0</v>
      </c>
      <c r="Z55" s="4">
        <f t="shared" si="28"/>
        <v>0</v>
      </c>
      <c r="AA55" s="4">
        <f t="shared" si="29"/>
        <v>0</v>
      </c>
      <c r="AB55" s="4">
        <f>IF($AA55=0,"",VLOOKUP($AA55,seznam!$A$2:$C$40,2,FALSE))</f>
      </c>
      <c r="AC55" s="4">
        <f t="shared" si="30"/>
      </c>
      <c r="AD55" s="4">
        <f t="shared" si="31"/>
        <v>0</v>
      </c>
      <c r="AE55" s="4">
        <f t="shared" si="32"/>
        <v>0</v>
      </c>
      <c r="AG55" s="4">
        <f t="shared" si="33"/>
        <v>0</v>
      </c>
      <c r="AH55" s="4">
        <f t="shared" si="34"/>
        <v>0</v>
      </c>
      <c r="AI55" s="4">
        <f t="shared" si="35"/>
        <v>0</v>
      </c>
      <c r="AJ55" s="4">
        <f t="shared" si="36"/>
        <v>0</v>
      </c>
      <c r="AK55" s="4">
        <f t="shared" si="37"/>
        <v>0</v>
      </c>
    </row>
    <row r="56" spans="1:37" ht="16.5" customHeight="1">
      <c r="A56" s="249"/>
      <c r="B56" s="112">
        <f>IF($A56="","",CONCATENATE(VLOOKUP($A56,seznam!$A$2:$B$40,2,FALSE)," (",VLOOKUP($A56,seznam!$A$2:$H$40,5,FALSE),")"))</f>
      </c>
      <c r="C56" s="208">
        <f>IF(Z62+Y62=0,"",CONCATENATE(Y62,":",Z62))</f>
      </c>
      <c r="D56" s="204">
        <f>IF(Y65+Z65=0,"",CONCATENATE(Y65,":",Y65))</f>
      </c>
      <c r="E56" s="204">
        <f>IF(Z54+Y54=0,"",CONCATENATE(Y54,":",Z54))</f>
      </c>
      <c r="F56" s="204" t="s">
        <v>17</v>
      </c>
      <c r="G56" s="204">
        <f>IF(Y60+Z60=0,"",CONCATENATE(Z60,":",Y60))</f>
      </c>
      <c r="H56" s="207">
        <f>IF(Z55+Y55=0,"",CONCATENATE(Y55,":",Z55))</f>
      </c>
      <c r="I56" s="190">
        <f>IF(AE54+AE55+AD60+AE62+AD65=0,"",AE54+AE55+AD60+AE62+AD65)</f>
      </c>
      <c r="J56" s="121"/>
      <c r="L56" s="4" t="str">
        <f t="shared" si="26"/>
        <v>bye - bye</v>
      </c>
      <c r="M56" s="4" t="str">
        <f t="shared" si="38"/>
        <v>Dvouhra - Skupina C</v>
      </c>
      <c r="N56" s="4">
        <f>A57</f>
        <v>0</v>
      </c>
      <c r="O56" s="4" t="str">
        <f>IF($N56=0,"bye",VLOOKUP($N56,seznam!$A$2:$C$40,2,FALSE))</f>
        <v>bye</v>
      </c>
      <c r="P56" s="4">
        <f>IF($N56=0,"",VLOOKUP($N56,seznam!$A$2:$D$40,4,FALSE))</f>
      </c>
      <c r="Q56" s="4">
        <f>A55</f>
        <v>0</v>
      </c>
      <c r="R56" s="4" t="str">
        <f>IF($Q56=0,"bye",VLOOKUP($Q56,seznam!$A$2:$C$40,2,FALSE))</f>
        <v>bye</v>
      </c>
      <c r="S56" s="4">
        <f>IF($Q56=0,"",VLOOKUP($Q56,seznam!$A$2:$D$40,4,FALSE))</f>
      </c>
      <c r="T56" s="115"/>
      <c r="U56" s="116"/>
      <c r="V56" s="116"/>
      <c r="W56" s="116"/>
      <c r="X56" s="117"/>
      <c r="Y56" s="4">
        <f t="shared" si="27"/>
        <v>0</v>
      </c>
      <c r="Z56" s="4">
        <f t="shared" si="28"/>
        <v>0</v>
      </c>
      <c r="AA56" s="4">
        <f t="shared" si="29"/>
        <v>0</v>
      </c>
      <c r="AB56" s="4">
        <f>IF($AA56=0,"",VLOOKUP($AA56,seznam!$A$2:$C$40,2,FALSE))</f>
      </c>
      <c r="AC56" s="4">
        <f t="shared" si="30"/>
      </c>
      <c r="AD56" s="4">
        <f t="shared" si="31"/>
        <v>0</v>
      </c>
      <c r="AE56" s="4">
        <f t="shared" si="32"/>
        <v>0</v>
      </c>
      <c r="AG56" s="4">
        <f t="shared" si="33"/>
        <v>0</v>
      </c>
      <c r="AH56" s="4">
        <f t="shared" si="34"/>
        <v>0</v>
      </c>
      <c r="AI56" s="4">
        <f t="shared" si="35"/>
        <v>0</v>
      </c>
      <c r="AJ56" s="4">
        <f t="shared" si="36"/>
        <v>0</v>
      </c>
      <c r="AK56" s="4">
        <f t="shared" si="37"/>
        <v>0</v>
      </c>
    </row>
    <row r="57" spans="1:37" ht="16.5" customHeight="1">
      <c r="A57" s="249"/>
      <c r="B57" s="112">
        <f>IF($A57="","",CONCATENATE(VLOOKUP($A57,seznam!$A$2:$B$40,2,FALSE)," (",VLOOKUP($A57,seznam!$A$2:$H$40,5,FALSE),")"))</f>
      </c>
      <c r="C57" s="208">
        <f>IF(Y66+Z66=0,"",CONCATENATE(Z66,":",Y66))</f>
      </c>
      <c r="D57" s="204">
        <f>IF(Z53+Y53=0,"",CONCATENATE(Z53,":",Y53))</f>
      </c>
      <c r="E57" s="204">
        <f>IF(Y56+Z56=0,"",CONCATENATE(Z56,":",Y56))</f>
      </c>
      <c r="F57" s="204">
        <f>IF(Z60+Y60=0,"",CONCATENATE(Y60,":",Z60))</f>
      </c>
      <c r="G57" s="204" t="s">
        <v>17</v>
      </c>
      <c r="H57" s="207">
        <f>IF(Z61+Y61=0,"",CONCATENATE(Y61,":",Z61))</f>
      </c>
      <c r="I57" s="190">
        <f>IF(AE53+AD56+AE60+AE61+AD66=0,"",AE53+AD56+AE60+AE61+AD66)</f>
      </c>
      <c r="J57" s="121"/>
      <c r="L57" s="4" t="str">
        <f t="shared" si="26"/>
        <v>bye - bye</v>
      </c>
      <c r="M57" s="4" t="str">
        <f t="shared" si="38"/>
        <v>Dvouhra - Skupina C</v>
      </c>
      <c r="N57" s="4">
        <f>A53</f>
        <v>0</v>
      </c>
      <c r="O57" s="4" t="str">
        <f>IF($N57=0,"bye",VLOOKUP($N57,seznam!$A$2:$C$40,2,FALSE))</f>
        <v>bye</v>
      </c>
      <c r="P57" s="4">
        <f>IF($N57=0,"",VLOOKUP($N57,seznam!$A$2:$D$40,4,FALSE))</f>
      </c>
      <c r="Q57" s="4">
        <f>A54</f>
        <v>0</v>
      </c>
      <c r="R57" s="4" t="str">
        <f>IF($Q57=0,"bye",VLOOKUP($Q57,seznam!$A$2:$C$40,2,FALSE))</f>
        <v>bye</v>
      </c>
      <c r="S57" s="4">
        <f>IF($Q57=0,"",VLOOKUP($Q57,seznam!$A$2:$D$40,4,FALSE))</f>
      </c>
      <c r="T57" s="115"/>
      <c r="U57" s="116"/>
      <c r="V57" s="116"/>
      <c r="W57" s="116"/>
      <c r="X57" s="117"/>
      <c r="Y57" s="4">
        <f t="shared" si="27"/>
        <v>0</v>
      </c>
      <c r="Z57" s="4">
        <f t="shared" si="28"/>
        <v>0</v>
      </c>
      <c r="AA57" s="4">
        <f t="shared" si="29"/>
        <v>0</v>
      </c>
      <c r="AB57" s="4">
        <f>IF($AA57=0,"",VLOOKUP($AA57,seznam!$A$2:$C$40,2,FALSE))</f>
      </c>
      <c r="AC57" s="4">
        <f t="shared" si="30"/>
      </c>
      <c r="AD57" s="4">
        <f t="shared" si="31"/>
        <v>0</v>
      </c>
      <c r="AE57" s="4">
        <f t="shared" si="32"/>
        <v>0</v>
      </c>
      <c r="AG57" s="4">
        <f t="shared" si="33"/>
        <v>0</v>
      </c>
      <c r="AH57" s="4">
        <f t="shared" si="34"/>
        <v>0</v>
      </c>
      <c r="AI57" s="4">
        <f t="shared" si="35"/>
        <v>0</v>
      </c>
      <c r="AJ57" s="4">
        <f t="shared" si="36"/>
        <v>0</v>
      </c>
      <c r="AK57" s="4">
        <f t="shared" si="37"/>
        <v>0</v>
      </c>
    </row>
    <row r="58" spans="1:37" ht="16.5" customHeight="1" thickBot="1">
      <c r="A58" s="250"/>
      <c r="B58" s="112">
        <f>IF($A58="","",CONCATENATE(VLOOKUP($A58,seznam!$A$2:$B$40,2,FALSE)," (",VLOOKUP($A58,seznam!$A$2:$H$40,5,FALSE),")"))</f>
      </c>
      <c r="C58" s="210">
        <f>IF(Z52+Y52=0,"",CONCATENATE(Y52,":",Z52))</f>
      </c>
      <c r="D58" s="211">
        <f>IF(Z58+Y58=0,"",CONCATENATE(Y58,":",Z58))</f>
      </c>
      <c r="E58" s="211">
        <f>IF(Z64+Y64=0,"",CONCATENATE(Y64,":",Z64))</f>
      </c>
      <c r="F58" s="211">
        <f>IF(Y55+Z55=0,"",CONCATENATE(Z55,":",Y55))</f>
      </c>
      <c r="G58" s="211">
        <f>IF(Y61+Z61=0,"",CONCATENATE(Z61,":",Y61))</f>
      </c>
      <c r="H58" s="212" t="s">
        <v>17</v>
      </c>
      <c r="I58" s="191">
        <f>IF(AE52+AD55+AE58+AD61+AD64=0,"",AE52+AD55+AE58+AD61+AD64)</f>
      </c>
      <c r="J58" s="124"/>
      <c r="K58" s="199" t="s">
        <v>49</v>
      </c>
      <c r="L58" s="4" t="str">
        <f t="shared" si="26"/>
        <v>bye - bye</v>
      </c>
      <c r="M58" s="4" t="str">
        <f t="shared" si="38"/>
        <v>Dvouhra - Skupina C</v>
      </c>
      <c r="N58" s="4">
        <f>A54</f>
        <v>0</v>
      </c>
      <c r="O58" s="4" t="str">
        <f>IF($N58=0,"bye",VLOOKUP($N58,seznam!$A$2:$C$40,2,FALSE))</f>
        <v>bye</v>
      </c>
      <c r="P58" s="4">
        <f>IF($N58=0,"",VLOOKUP($N58,seznam!$A$2:$D$40,4,FALSE))</f>
      </c>
      <c r="Q58" s="4">
        <f>A58</f>
        <v>0</v>
      </c>
      <c r="R58" s="4" t="str">
        <f>IF($Q58=0,"bye",VLOOKUP($Q58,seznam!$A$2:$C$40,2,FALSE))</f>
        <v>bye</v>
      </c>
      <c r="S58" s="4">
        <f>IF($Q58=0,"",VLOOKUP($Q58,seznam!$A$2:$D$40,4,FALSE))</f>
      </c>
      <c r="T58" s="115"/>
      <c r="U58" s="116"/>
      <c r="V58" s="116"/>
      <c r="W58" s="116"/>
      <c r="X58" s="120"/>
      <c r="Y58" s="4">
        <f t="shared" si="27"/>
        <v>0</v>
      </c>
      <c r="Z58" s="4">
        <f t="shared" si="28"/>
        <v>0</v>
      </c>
      <c r="AA58" s="4">
        <f t="shared" si="29"/>
        <v>0</v>
      </c>
      <c r="AB58" s="4">
        <f>IF($AA58=0,"",VLOOKUP($AA58,seznam!$A$2:$C$40,2,FALSE))</f>
      </c>
      <c r="AC58" s="4">
        <f t="shared" si="30"/>
      </c>
      <c r="AD58" s="4">
        <f t="shared" si="31"/>
        <v>0</v>
      </c>
      <c r="AE58" s="4">
        <f t="shared" si="32"/>
        <v>0</v>
      </c>
      <c r="AG58" s="4">
        <f t="shared" si="33"/>
        <v>0</v>
      </c>
      <c r="AH58" s="4">
        <f t="shared" si="34"/>
        <v>0</v>
      </c>
      <c r="AI58" s="4">
        <f t="shared" si="35"/>
        <v>0</v>
      </c>
      <c r="AJ58" s="4">
        <f t="shared" si="36"/>
        <v>0</v>
      </c>
      <c r="AK58" s="4">
        <f t="shared" si="37"/>
        <v>0</v>
      </c>
    </row>
    <row r="59" spans="12:37" ht="16.5" customHeight="1" thickTop="1">
      <c r="L59" s="4" t="str">
        <f t="shared" si="26"/>
        <v>bye - bye</v>
      </c>
      <c r="M59" s="4" t="str">
        <f t="shared" si="38"/>
        <v>Dvouhra - Skupina C</v>
      </c>
      <c r="N59" s="4">
        <f>A55</f>
        <v>0</v>
      </c>
      <c r="O59" s="4" t="str">
        <f>IF($N59=0,"bye",VLOOKUP($N59,seznam!$A$2:$C$40,2,FALSE))</f>
        <v>bye</v>
      </c>
      <c r="P59" s="4">
        <f>IF($N59=0,"",VLOOKUP($N59,seznam!$A$2:$D$40,4,FALSE))</f>
      </c>
      <c r="Q59" s="4">
        <f>A53</f>
        <v>0</v>
      </c>
      <c r="R59" s="4" t="str">
        <f>IF($Q59=0,"bye",VLOOKUP($Q59,seznam!$A$2:$C$40,2,FALSE))</f>
        <v>bye</v>
      </c>
      <c r="S59" s="4">
        <f>IF($Q59=0,"",VLOOKUP($Q59,seznam!$A$2:$D$40,4,FALSE))</f>
      </c>
      <c r="T59" s="115"/>
      <c r="U59" s="116"/>
      <c r="V59" s="116"/>
      <c r="W59" s="116"/>
      <c r="X59" s="117"/>
      <c r="Y59" s="4">
        <f t="shared" si="27"/>
        <v>0</v>
      </c>
      <c r="Z59" s="4">
        <f t="shared" si="28"/>
        <v>0</v>
      </c>
      <c r="AA59" s="4">
        <f t="shared" si="29"/>
        <v>0</v>
      </c>
      <c r="AB59" s="4">
        <f>IF($AA59=0,"",VLOOKUP($AA59,seznam!$A$2:$C$40,2,FALSE))</f>
      </c>
      <c r="AC59" s="4">
        <f t="shared" si="30"/>
      </c>
      <c r="AD59" s="4">
        <f t="shared" si="31"/>
        <v>0</v>
      </c>
      <c r="AE59" s="4">
        <f t="shared" si="32"/>
        <v>0</v>
      </c>
      <c r="AG59" s="4">
        <f t="shared" si="33"/>
        <v>0</v>
      </c>
      <c r="AH59" s="4">
        <f t="shared" si="34"/>
        <v>0</v>
      </c>
      <c r="AI59" s="4">
        <f t="shared" si="35"/>
        <v>0</v>
      </c>
      <c r="AJ59" s="4">
        <f t="shared" si="36"/>
        <v>0</v>
      </c>
      <c r="AK59" s="4">
        <f t="shared" si="37"/>
        <v>0</v>
      </c>
    </row>
    <row r="60" spans="2:37" ht="16.5" customHeight="1">
      <c r="B60" s="100"/>
      <c r="E60" s="100"/>
      <c r="L60" s="4" t="str">
        <f t="shared" si="26"/>
        <v>bye - bye</v>
      </c>
      <c r="M60" s="4" t="str">
        <f t="shared" si="38"/>
        <v>Dvouhra - Skupina C</v>
      </c>
      <c r="N60" s="4">
        <f>A56</f>
        <v>0</v>
      </c>
      <c r="O60" s="4" t="str">
        <f>IF($N60=0,"bye",VLOOKUP($N60,seznam!$A$2:$C$40,2,FALSE))</f>
        <v>bye</v>
      </c>
      <c r="P60" s="4">
        <f>IF($N60=0,"",VLOOKUP($N60,seznam!$A$2:$D$40,4,FALSE))</f>
      </c>
      <c r="Q60" s="4">
        <f>A57</f>
        <v>0</v>
      </c>
      <c r="R60" s="4" t="str">
        <f>IF($Q60=0,"bye",VLOOKUP($Q60,seznam!$A$2:$C$40,2,FALSE))</f>
        <v>bye</v>
      </c>
      <c r="S60" s="4">
        <f>IF($Q60=0,"",VLOOKUP($Q60,seznam!$A$2:$D$40,4,FALSE))</f>
      </c>
      <c r="T60" s="115"/>
      <c r="U60" s="116"/>
      <c r="V60" s="116"/>
      <c r="W60" s="116"/>
      <c r="X60" s="120"/>
      <c r="Y60" s="4">
        <f t="shared" si="27"/>
        <v>0</v>
      </c>
      <c r="Z60" s="4">
        <f t="shared" si="28"/>
        <v>0</v>
      </c>
      <c r="AA60" s="4">
        <f t="shared" si="29"/>
        <v>0</v>
      </c>
      <c r="AB60" s="4">
        <f>IF($AA60=0,"",VLOOKUP($AA60,seznam!$A$2:$C$40,2,FALSE))</f>
      </c>
      <c r="AC60" s="4">
        <f t="shared" si="30"/>
      </c>
      <c r="AD60" s="4">
        <f t="shared" si="31"/>
        <v>0</v>
      </c>
      <c r="AE60" s="4">
        <f t="shared" si="32"/>
        <v>0</v>
      </c>
      <c r="AG60" s="4">
        <f t="shared" si="33"/>
        <v>0</v>
      </c>
      <c r="AH60" s="4">
        <f t="shared" si="34"/>
        <v>0</v>
      </c>
      <c r="AI60" s="4">
        <f t="shared" si="35"/>
        <v>0</v>
      </c>
      <c r="AJ60" s="4">
        <f t="shared" si="36"/>
        <v>0</v>
      </c>
      <c r="AK60" s="4">
        <f t="shared" si="37"/>
        <v>0</v>
      </c>
    </row>
    <row r="61" spans="3:37" ht="16.5" customHeight="1">
      <c r="C61" s="99"/>
      <c r="I61" s="99"/>
      <c r="K61" s="199" t="s">
        <v>52</v>
      </c>
      <c r="L61" s="4" t="str">
        <f t="shared" si="26"/>
        <v>bye - bye</v>
      </c>
      <c r="M61" s="4" t="str">
        <f t="shared" si="38"/>
        <v>Dvouhra - Skupina C</v>
      </c>
      <c r="N61" s="4">
        <f>A58</f>
        <v>0</v>
      </c>
      <c r="O61" s="4" t="str">
        <f>IF($N61=0,"bye",VLOOKUP($N61,seznam!$A$2:$C$40,2,FALSE))</f>
        <v>bye</v>
      </c>
      <c r="P61" s="4">
        <f>IF($N61=0,"",VLOOKUP($N61,seznam!$A$2:$D$40,4,FALSE))</f>
      </c>
      <c r="Q61" s="4">
        <f>A57</f>
        <v>0</v>
      </c>
      <c r="R61" s="4" t="str">
        <f>IF($Q61=0,"bye",VLOOKUP($Q61,seznam!$A$2:$C$40,2,FALSE))</f>
        <v>bye</v>
      </c>
      <c r="S61" s="4">
        <f>IF($Q61=0,"",VLOOKUP($Q61,seznam!$A$2:$D$40,4,FALSE))</f>
      </c>
      <c r="T61" s="115"/>
      <c r="U61" s="116"/>
      <c r="V61" s="116"/>
      <c r="W61" s="116"/>
      <c r="X61" s="120"/>
      <c r="Y61" s="4">
        <f t="shared" si="27"/>
        <v>0</v>
      </c>
      <c r="Z61" s="4">
        <f t="shared" si="28"/>
        <v>0</v>
      </c>
      <c r="AA61" s="4">
        <f t="shared" si="29"/>
        <v>0</v>
      </c>
      <c r="AB61" s="4">
        <f>IF($AA61=0,"",VLOOKUP($AA61,seznam!$A$2:$C$40,2,FALSE))</f>
      </c>
      <c r="AC61" s="4">
        <f t="shared" si="30"/>
      </c>
      <c r="AD61" s="4">
        <f t="shared" si="31"/>
        <v>0</v>
      </c>
      <c r="AE61" s="4">
        <f t="shared" si="32"/>
        <v>0</v>
      </c>
      <c r="AG61" s="4">
        <f t="shared" si="33"/>
        <v>0</v>
      </c>
      <c r="AH61" s="4">
        <f t="shared" si="34"/>
        <v>0</v>
      </c>
      <c r="AI61" s="4">
        <f t="shared" si="35"/>
        <v>0</v>
      </c>
      <c r="AJ61" s="4">
        <f t="shared" si="36"/>
        <v>0</v>
      </c>
      <c r="AK61" s="4">
        <f t="shared" si="37"/>
        <v>0</v>
      </c>
    </row>
    <row r="62" spans="3:37" ht="16.5" customHeight="1">
      <c r="C62" s="99"/>
      <c r="I62" s="99"/>
      <c r="L62" s="4" t="str">
        <f t="shared" si="26"/>
        <v>bye - bye</v>
      </c>
      <c r="M62" s="4" t="str">
        <f t="shared" si="38"/>
        <v>Dvouhra - Skupina C</v>
      </c>
      <c r="N62" s="4">
        <f>A53</f>
        <v>0</v>
      </c>
      <c r="O62" s="4" t="str">
        <f>IF($N62=0,"bye",VLOOKUP($N62,seznam!$A$2:$C$40,2,FALSE))</f>
        <v>bye</v>
      </c>
      <c r="P62" s="4">
        <f>IF($N62=0,"",VLOOKUP($N62,seznam!$A$2:$D$40,4,FALSE))</f>
      </c>
      <c r="Q62" s="4">
        <f>A56</f>
        <v>0</v>
      </c>
      <c r="R62" s="4" t="str">
        <f>IF($Q62=0,"bye",VLOOKUP($Q62,seznam!$A$2:$C$40,2,FALSE))</f>
        <v>bye</v>
      </c>
      <c r="S62" s="4">
        <f>IF($Q62=0,"",VLOOKUP($Q62,seznam!$A$2:$D$40,4,FALSE))</f>
      </c>
      <c r="T62" s="115"/>
      <c r="U62" s="116"/>
      <c r="V62" s="116"/>
      <c r="W62" s="116"/>
      <c r="X62" s="117"/>
      <c r="Y62" s="4">
        <f t="shared" si="27"/>
        <v>0</v>
      </c>
      <c r="Z62" s="4">
        <f t="shared" si="28"/>
        <v>0</v>
      </c>
      <c r="AA62" s="4">
        <f t="shared" si="29"/>
        <v>0</v>
      </c>
      <c r="AB62" s="4">
        <f>IF($AA62=0,"",VLOOKUP($AA62,seznam!$A$2:$C$40,2,FALSE))</f>
      </c>
      <c r="AC62" s="4">
        <f t="shared" si="30"/>
      </c>
      <c r="AD62" s="4">
        <f t="shared" si="31"/>
        <v>0</v>
      </c>
      <c r="AE62" s="4">
        <f t="shared" si="32"/>
        <v>0</v>
      </c>
      <c r="AG62" s="4">
        <f t="shared" si="33"/>
        <v>0</v>
      </c>
      <c r="AH62" s="4">
        <f t="shared" si="34"/>
        <v>0</v>
      </c>
      <c r="AI62" s="4">
        <f t="shared" si="35"/>
        <v>0</v>
      </c>
      <c r="AJ62" s="4">
        <f t="shared" si="36"/>
        <v>0</v>
      </c>
      <c r="AK62" s="4">
        <f t="shared" si="37"/>
        <v>0</v>
      </c>
    </row>
    <row r="63" spans="3:37" ht="16.5" customHeight="1">
      <c r="C63" s="99"/>
      <c r="I63" s="99"/>
      <c r="L63" s="4" t="str">
        <f t="shared" si="26"/>
        <v>bye - bye</v>
      </c>
      <c r="M63" s="4" t="str">
        <f t="shared" si="38"/>
        <v>Dvouhra - Skupina C</v>
      </c>
      <c r="N63" s="4">
        <f>A54</f>
        <v>0</v>
      </c>
      <c r="O63" s="4" t="str">
        <f>IF($N63=0,"bye",VLOOKUP($N63,seznam!$A$2:$C$40,2,FALSE))</f>
        <v>bye</v>
      </c>
      <c r="P63" s="4">
        <f>IF($N63=0,"",VLOOKUP($N63,seznam!$A$2:$D$40,4,FALSE))</f>
      </c>
      <c r="Q63" s="4">
        <f>A55</f>
        <v>0</v>
      </c>
      <c r="R63" s="4" t="str">
        <f>IF($Q63=0,"bye",VLOOKUP($Q63,seznam!$A$2:$C$40,2,FALSE))</f>
        <v>bye</v>
      </c>
      <c r="S63" s="4">
        <f>IF($Q63=0,"",VLOOKUP($Q63,seznam!$A$2:$D$40,4,FALSE))</f>
      </c>
      <c r="T63" s="115"/>
      <c r="U63" s="116"/>
      <c r="V63" s="116"/>
      <c r="W63" s="116"/>
      <c r="X63" s="117"/>
      <c r="Y63" s="4">
        <f t="shared" si="27"/>
        <v>0</v>
      </c>
      <c r="Z63" s="4">
        <f t="shared" si="28"/>
        <v>0</v>
      </c>
      <c r="AA63" s="4">
        <f t="shared" si="29"/>
        <v>0</v>
      </c>
      <c r="AB63" s="4">
        <f>IF($AA63=0,"",VLOOKUP($AA63,seznam!$A$2:$C$40,2,FALSE))</f>
      </c>
      <c r="AC63" s="4">
        <f t="shared" si="30"/>
      </c>
      <c r="AD63" s="4">
        <f t="shared" si="31"/>
        <v>0</v>
      </c>
      <c r="AE63" s="4">
        <f t="shared" si="32"/>
        <v>0</v>
      </c>
      <c r="AG63" s="4">
        <f t="shared" si="33"/>
        <v>0</v>
      </c>
      <c r="AH63" s="4">
        <f t="shared" si="34"/>
        <v>0</v>
      </c>
      <c r="AI63" s="4">
        <f t="shared" si="35"/>
        <v>0</v>
      </c>
      <c r="AJ63" s="4">
        <f t="shared" si="36"/>
        <v>0</v>
      </c>
      <c r="AK63" s="4">
        <f t="shared" si="37"/>
        <v>0</v>
      </c>
    </row>
    <row r="64" spans="2:37" ht="16.5" customHeight="1">
      <c r="B64" s="100"/>
      <c r="E64" s="100"/>
      <c r="K64" s="199" t="s">
        <v>50</v>
      </c>
      <c r="L64" s="4" t="str">
        <f t="shared" si="26"/>
        <v>bye - bye</v>
      </c>
      <c r="M64" s="4" t="str">
        <f t="shared" si="38"/>
        <v>Dvouhra - Skupina C</v>
      </c>
      <c r="N64" s="4">
        <f>A55</f>
        <v>0</v>
      </c>
      <c r="O64" s="4" t="str">
        <f>IF($N64=0,"bye",VLOOKUP($N64,seznam!$A$2:$C$40,2,FALSE))</f>
        <v>bye</v>
      </c>
      <c r="P64" s="4">
        <f>IF($N64=0,"",VLOOKUP($N64,seznam!$A$2:$D$40,4,FALSE))</f>
      </c>
      <c r="Q64" s="4">
        <f>A58</f>
        <v>0</v>
      </c>
      <c r="R64" s="4" t="str">
        <f>IF($Q64=0,"bye",VLOOKUP($Q64,seznam!$A$2:$C$40,2,FALSE))</f>
        <v>bye</v>
      </c>
      <c r="S64" s="4">
        <f>IF($Q64=0,"",VLOOKUP($Q64,seznam!$A$2:$D$40,4,FALSE))</f>
      </c>
      <c r="T64" s="115"/>
      <c r="U64" s="116"/>
      <c r="V64" s="116"/>
      <c r="W64" s="116"/>
      <c r="X64" s="117"/>
      <c r="Y64" s="4">
        <f t="shared" si="27"/>
        <v>0</v>
      </c>
      <c r="Z64" s="4">
        <f t="shared" si="28"/>
        <v>0</v>
      </c>
      <c r="AA64" s="4">
        <f t="shared" si="29"/>
        <v>0</v>
      </c>
      <c r="AB64" s="4">
        <f>IF($AA64=0,"",VLOOKUP($AA64,seznam!$A$2:$C$40,2,FALSE))</f>
      </c>
      <c r="AC64" s="4">
        <f t="shared" si="30"/>
      </c>
      <c r="AD64" s="4">
        <f t="shared" si="31"/>
        <v>0</v>
      </c>
      <c r="AE64" s="4">
        <f t="shared" si="32"/>
        <v>0</v>
      </c>
      <c r="AG64" s="4">
        <f t="shared" si="33"/>
        <v>0</v>
      </c>
      <c r="AH64" s="4">
        <f t="shared" si="34"/>
        <v>0</v>
      </c>
      <c r="AI64" s="4">
        <f t="shared" si="35"/>
        <v>0</v>
      </c>
      <c r="AJ64" s="4">
        <f t="shared" si="36"/>
        <v>0</v>
      </c>
      <c r="AK64" s="4">
        <f t="shared" si="37"/>
        <v>0</v>
      </c>
    </row>
    <row r="65" spans="3:37" ht="16.5" customHeight="1">
      <c r="C65" s="99"/>
      <c r="L65" s="4" t="str">
        <f t="shared" si="26"/>
        <v>bye - bye</v>
      </c>
      <c r="M65" s="4" t="str">
        <f t="shared" si="38"/>
        <v>Dvouhra - Skupina C</v>
      </c>
      <c r="N65" s="4">
        <f>A56</f>
        <v>0</v>
      </c>
      <c r="O65" s="4" t="str">
        <f>IF($N65=0,"bye",VLOOKUP($N65,seznam!$A$2:$C$40,2,FALSE))</f>
        <v>bye</v>
      </c>
      <c r="P65" s="4">
        <f>IF($N65=0,"",VLOOKUP($N65,seznam!$A$2:$D$40,4,FALSE))</f>
      </c>
      <c r="Q65" s="4">
        <f>A54</f>
        <v>0</v>
      </c>
      <c r="R65" s="4" t="str">
        <f>IF($Q65=0,"bye",VLOOKUP($Q65,seznam!$A$2:$C$40,2,FALSE))</f>
        <v>bye</v>
      </c>
      <c r="S65" s="4">
        <f>IF($Q65=0,"",VLOOKUP($Q65,seznam!$A$2:$D$40,4,FALSE))</f>
      </c>
      <c r="T65" s="115"/>
      <c r="U65" s="116"/>
      <c r="V65" s="116"/>
      <c r="W65" s="116"/>
      <c r="X65" s="117"/>
      <c r="Y65" s="4">
        <f t="shared" si="27"/>
        <v>0</v>
      </c>
      <c r="Z65" s="4">
        <f t="shared" si="28"/>
        <v>0</v>
      </c>
      <c r="AA65" s="4">
        <f t="shared" si="29"/>
        <v>0</v>
      </c>
      <c r="AB65" s="4">
        <f>IF($AA65=0,"",VLOOKUP($AA65,seznam!$A$2:$C$40,2,FALSE))</f>
      </c>
      <c r="AC65" s="4">
        <f t="shared" si="30"/>
      </c>
      <c r="AD65" s="4">
        <f t="shared" si="31"/>
        <v>0</v>
      </c>
      <c r="AE65" s="4">
        <f t="shared" si="32"/>
        <v>0</v>
      </c>
      <c r="AG65" s="4">
        <f t="shared" si="33"/>
        <v>0</v>
      </c>
      <c r="AH65" s="4">
        <f t="shared" si="34"/>
        <v>0</v>
      </c>
      <c r="AI65" s="4">
        <f t="shared" si="35"/>
        <v>0</v>
      </c>
      <c r="AJ65" s="4">
        <f t="shared" si="36"/>
        <v>0</v>
      </c>
      <c r="AK65" s="4">
        <f t="shared" si="37"/>
        <v>0</v>
      </c>
    </row>
    <row r="66" spans="3:37" ht="16.5" customHeight="1" thickBot="1">
      <c r="C66" s="99"/>
      <c r="L66" s="4" t="str">
        <f t="shared" si="26"/>
        <v>bye - bye</v>
      </c>
      <c r="M66" s="4" t="str">
        <f t="shared" si="38"/>
        <v>Dvouhra - Skupina C</v>
      </c>
      <c r="N66" s="4">
        <f>A57</f>
        <v>0</v>
      </c>
      <c r="O66" s="4" t="str">
        <f>IF($N66=0,"bye",VLOOKUP($N66,seznam!$A$2:$C$40,2,FALSE))</f>
        <v>bye</v>
      </c>
      <c r="P66" s="4">
        <f>IF($N66=0,"",VLOOKUP($N66,seznam!$A$2:$D$40,4,FALSE))</f>
      </c>
      <c r="Q66" s="4">
        <f>A53</f>
        <v>0</v>
      </c>
      <c r="R66" s="4" t="str">
        <f>IF($Q66=0,"bye",VLOOKUP($Q66,seznam!$A$2:$C$40,2,FALSE))</f>
        <v>bye</v>
      </c>
      <c r="S66" s="4">
        <f>IF($Q66=0,"",VLOOKUP($Q66,seznam!$A$2:$D$40,4,FALSE))</f>
      </c>
      <c r="T66" s="125"/>
      <c r="U66" s="126"/>
      <c r="V66" s="126"/>
      <c r="W66" s="126"/>
      <c r="X66" s="127"/>
      <c r="Y66" s="4">
        <f t="shared" si="27"/>
        <v>0</v>
      </c>
      <c r="Z66" s="4">
        <f t="shared" si="28"/>
        <v>0</v>
      </c>
      <c r="AA66" s="4">
        <f t="shared" si="29"/>
        <v>0</v>
      </c>
      <c r="AB66" s="4">
        <f>IF($AA66=0,"",VLOOKUP($AA66,seznam!$A$2:$C$40,2,FALSE))</f>
      </c>
      <c r="AC66" s="4">
        <f t="shared" si="30"/>
      </c>
      <c r="AD66" s="4">
        <f t="shared" si="31"/>
        <v>0</v>
      </c>
      <c r="AE66" s="4">
        <f t="shared" si="32"/>
        <v>0</v>
      </c>
      <c r="AG66" s="4">
        <f t="shared" si="33"/>
        <v>0</v>
      </c>
      <c r="AH66" s="4">
        <f t="shared" si="34"/>
        <v>0</v>
      </c>
      <c r="AI66" s="4">
        <f t="shared" si="35"/>
        <v>0</v>
      </c>
      <c r="AJ66" s="4">
        <f t="shared" si="36"/>
        <v>0</v>
      </c>
      <c r="AK66" s="4">
        <f t="shared" si="37"/>
        <v>0</v>
      </c>
    </row>
    <row r="67" spans="3:27" ht="16.5" customHeight="1" thickTop="1">
      <c r="C67" s="99"/>
      <c r="M67" s="100"/>
      <c r="N67" s="100"/>
      <c r="O67" s="100"/>
      <c r="P67" s="100"/>
      <c r="Q67" s="100"/>
      <c r="R67" s="100"/>
      <c r="S67" s="100"/>
      <c r="Y67" s="100"/>
      <c r="Z67" s="100"/>
      <c r="AA67" s="100"/>
    </row>
    <row r="68" spans="1:27" ht="16.5" customHeight="1" thickBot="1">
      <c r="A68" s="3"/>
      <c r="B68" s="3"/>
      <c r="C68" s="5"/>
      <c r="D68" s="3"/>
      <c r="E68" s="3"/>
      <c r="F68" s="3"/>
      <c r="G68" s="3"/>
      <c r="H68" s="3"/>
      <c r="I68" s="7"/>
      <c r="M68" s="100" t="str">
        <f>B69</f>
        <v>Skupina D</v>
      </c>
      <c r="N68" s="100" t="s">
        <v>3</v>
      </c>
      <c r="O68" s="100" t="s">
        <v>46</v>
      </c>
      <c r="P68" s="100" t="s">
        <v>4</v>
      </c>
      <c r="Q68" s="100" t="s">
        <v>3</v>
      </c>
      <c r="R68" s="100" t="s">
        <v>47</v>
      </c>
      <c r="S68" s="100" t="s">
        <v>4</v>
      </c>
      <c r="T68" s="101" t="s">
        <v>5</v>
      </c>
      <c r="U68" s="101" t="s">
        <v>6</v>
      </c>
      <c r="V68" s="101" t="s">
        <v>7</v>
      </c>
      <c r="W68" s="101" t="s">
        <v>8</v>
      </c>
      <c r="X68" s="101" t="s">
        <v>9</v>
      </c>
      <c r="Y68" s="100" t="s">
        <v>10</v>
      </c>
      <c r="Z68" s="100" t="s">
        <v>11</v>
      </c>
      <c r="AA68" s="100" t="s">
        <v>12</v>
      </c>
    </row>
    <row r="69" spans="1:37" ht="16.5" customHeight="1" thickBot="1" thickTop="1">
      <c r="A69" s="102"/>
      <c r="B69" s="103" t="s">
        <v>20</v>
      </c>
      <c r="C69" s="104">
        <v>1</v>
      </c>
      <c r="D69" s="105">
        <v>2</v>
      </c>
      <c r="E69" s="105">
        <v>3</v>
      </c>
      <c r="F69" s="106">
        <v>4</v>
      </c>
      <c r="G69" s="106">
        <v>5</v>
      </c>
      <c r="H69" s="107">
        <v>6</v>
      </c>
      <c r="I69" s="108" t="s">
        <v>15</v>
      </c>
      <c r="J69" s="107" t="s">
        <v>16</v>
      </c>
      <c r="K69" s="199" t="s">
        <v>48</v>
      </c>
      <c r="L69" s="4" t="str">
        <f aca="true" t="shared" si="39" ref="L69:L83">CONCATENATE(O69," - ",R69)</f>
        <v>bye - bye</v>
      </c>
      <c r="M69" s="4" t="str">
        <f>CONCATENATE("Dvouhra - Skupina D")</f>
        <v>Dvouhra - Skupina D</v>
      </c>
      <c r="N69" s="4">
        <f>A70</f>
        <v>0</v>
      </c>
      <c r="O69" s="4" t="str">
        <f>IF($N69=0,"bye",VLOOKUP($N69,seznam!$A$2:$C$40,2,FALSE))</f>
        <v>bye</v>
      </c>
      <c r="P69" s="4">
        <f>IF($N69=0,"",VLOOKUP($N69,seznam!$A$2:$D$40,4,FALSE))</f>
      </c>
      <c r="Q69" s="4">
        <f>A75</f>
        <v>0</v>
      </c>
      <c r="R69" s="4" t="str">
        <f>IF($Q69=0,"bye",VLOOKUP($Q69,seznam!$A$2:$C$40,2,FALSE))</f>
        <v>bye</v>
      </c>
      <c r="S69" s="4">
        <f>IF($Q69=0,"",VLOOKUP($Q69,seznam!$A$2:$D$40,4,FALSE))</f>
      </c>
      <c r="T69" s="109"/>
      <c r="U69" s="110"/>
      <c r="V69" s="110"/>
      <c r="W69" s="110"/>
      <c r="X69" s="111"/>
      <c r="Y69" s="4">
        <f aca="true" t="shared" si="40" ref="Y69:Y83">COUNTIF(AG69:AK69,"&gt;0")</f>
        <v>0</v>
      </c>
      <c r="Z69" s="4">
        <f aca="true" t="shared" si="41" ref="Z69:Z83">COUNTIF(AG69:AK69,"&lt;0")</f>
        <v>0</v>
      </c>
      <c r="AA69" s="4">
        <f aca="true" t="shared" si="42" ref="AA69:AA83">IF(Y69=Z69,0,IF(Y69&gt;Z69,N69,Q69))</f>
        <v>0</v>
      </c>
      <c r="AB69" s="4">
        <f>IF($AA69=0,"",VLOOKUP($AA69,seznam!$A$2:$C$40,2,FALSE))</f>
      </c>
      <c r="AC69" s="4">
        <f aca="true" t="shared" si="43" ref="AC69:AC83">IF(Y69=Z69,"",IF(Y69&gt;Z69,CONCATENATE(Y69,":",Z69," (",T69,",",U69,",",V69,IF(SUM(Y69:Z69)&gt;3,",",""),W69,IF(SUM(Y69:Z69)&gt;4,",",""),X69,")"),CONCATENATE(Z69,":",Y69," (",-T69,",",-U69,",",-V69,IF(SUM(Y69:Z69)&gt;3,CONCATENATE(",",-W69),""),IF(SUM(Y69:Z69)&gt;4,CONCATENATE(",",-X69),""),")")))</f>
      </c>
      <c r="AD69" s="4">
        <f aca="true" t="shared" si="44" ref="AD69:AD83">IF(T69="",0,IF(Y69&gt;Z69,2,1))</f>
        <v>0</v>
      </c>
      <c r="AE69" s="4">
        <f aca="true" t="shared" si="45" ref="AE69:AE83">IF(T69="",0,IF(Z69&gt;Y69,2,1))</f>
        <v>0</v>
      </c>
      <c r="AG69" s="4">
        <f aca="true" t="shared" si="46" ref="AG69:AG83">IF(T69="",0,IF(MID(T69,1,1)="-",-1,1))</f>
        <v>0</v>
      </c>
      <c r="AH69" s="4">
        <f aca="true" t="shared" si="47" ref="AH69:AH83">IF(U69="",0,IF(MID(U69,1,1)="-",-1,1))</f>
        <v>0</v>
      </c>
      <c r="AI69" s="4">
        <f aca="true" t="shared" si="48" ref="AI69:AI83">IF(V69="",0,IF(MID(V69,1,1)="-",-1,1))</f>
        <v>0</v>
      </c>
      <c r="AJ69" s="4">
        <f aca="true" t="shared" si="49" ref="AJ69:AJ83">IF(W69="",0,IF(MID(W69,1,1)="-",-1,1))</f>
        <v>0</v>
      </c>
      <c r="AK69" s="4">
        <f aca="true" t="shared" si="50" ref="AK69:AK83">IF(X69="",0,IF(MID(X69,1,1)="-",-1,1))</f>
        <v>0</v>
      </c>
    </row>
    <row r="70" spans="1:37" ht="16.5" customHeight="1" thickTop="1">
      <c r="A70" s="247"/>
      <c r="B70" s="112">
        <f>IF($A70="","",CONCATENATE(VLOOKUP($A70,seznam!$A$2:$B$40,2,FALSE)," (",VLOOKUP($A70,seznam!$A$2:$H$40,5,FALSE),")"))</f>
      </c>
      <c r="C70" s="203" t="s">
        <v>17</v>
      </c>
      <c r="D70" s="205">
        <f>IF(Y74+Z74=0,"",CONCATENATE(Z74,":",Y74))</f>
      </c>
      <c r="E70" s="205">
        <f>IF(Z76+Y76=0,"",CONCATENATE(Y76,":",Z76))</f>
      </c>
      <c r="F70" s="205">
        <f>IF(Y79+Z79=0,"",CONCATENATE(Z79,":",Y79))</f>
      </c>
      <c r="G70" s="205">
        <f>IF(Z83+Y83=0,"",CONCATENATE(Y83,":",Z83))</f>
      </c>
      <c r="H70" s="206">
        <f>IF(Y69+Z69=0,"",CONCATENATE(Z69,":",Y69))</f>
      </c>
      <c r="I70" s="192">
        <f>IF(AD69+AD74+AE76+AD79+AE83=0,"",AD69+AD74+AE76+AD79+AE83)</f>
      </c>
      <c r="J70" s="114"/>
      <c r="L70" s="4" t="str">
        <f t="shared" si="39"/>
        <v>bye - bye</v>
      </c>
      <c r="M70" s="4" t="str">
        <f aca="true" t="shared" si="51" ref="M70:M83">CONCATENATE("Dvouhra - Skupina D")</f>
        <v>Dvouhra - Skupina D</v>
      </c>
      <c r="N70" s="4">
        <f>A71</f>
        <v>0</v>
      </c>
      <c r="O70" s="4" t="str">
        <f>IF($N70=0,"bye",VLOOKUP($N70,seznam!$A$2:$C$40,2,FALSE))</f>
        <v>bye</v>
      </c>
      <c r="P70" s="4">
        <f>IF($N70=0,"",VLOOKUP($N70,seznam!$A$2:$D$40,4,FALSE))</f>
      </c>
      <c r="Q70" s="4">
        <f>A74</f>
        <v>0</v>
      </c>
      <c r="R70" s="4" t="str">
        <f>IF($Q70=0,"bye",VLOOKUP($Q70,seznam!$A$2:$C$40,2,FALSE))</f>
        <v>bye</v>
      </c>
      <c r="S70" s="4">
        <f>IF($Q70=0,"",VLOOKUP($Q70,seznam!$A$2:$D$40,4,FALSE))</f>
      </c>
      <c r="T70" s="115"/>
      <c r="U70" s="116"/>
      <c r="V70" s="116"/>
      <c r="W70" s="116"/>
      <c r="X70" s="117"/>
      <c r="Y70" s="4">
        <f t="shared" si="40"/>
        <v>0</v>
      </c>
      <c r="Z70" s="4">
        <f t="shared" si="41"/>
        <v>0</v>
      </c>
      <c r="AA70" s="4">
        <f t="shared" si="42"/>
        <v>0</v>
      </c>
      <c r="AB70" s="4">
        <f>IF($AA70=0,"",VLOOKUP($AA70,seznam!$A$2:$C$40,2,FALSE))</f>
      </c>
      <c r="AC70" s="4">
        <f t="shared" si="43"/>
      </c>
      <c r="AD70" s="4">
        <f t="shared" si="44"/>
        <v>0</v>
      </c>
      <c r="AE70" s="4">
        <f t="shared" si="45"/>
        <v>0</v>
      </c>
      <c r="AG70" s="4">
        <f t="shared" si="46"/>
        <v>0</v>
      </c>
      <c r="AH70" s="4">
        <f t="shared" si="47"/>
        <v>0</v>
      </c>
      <c r="AI70" s="4">
        <f t="shared" si="48"/>
        <v>0</v>
      </c>
      <c r="AJ70" s="4">
        <f t="shared" si="49"/>
        <v>0</v>
      </c>
      <c r="AK70" s="4">
        <f t="shared" si="50"/>
        <v>0</v>
      </c>
    </row>
    <row r="71" spans="1:37" ht="16.5" customHeight="1">
      <c r="A71" s="248"/>
      <c r="B71" s="112">
        <f>IF($A71="","",CONCATENATE(VLOOKUP($A71,seznam!$A$2:$B$40,2,FALSE)," (",VLOOKUP($A71,seznam!$A$2:$H$40,5,FALSE),")"))</f>
      </c>
      <c r="C71" s="208">
        <f>IF(Z74+Y74=0,"",CONCATENATE(Y74,":",Z74))</f>
      </c>
      <c r="D71" s="204" t="s">
        <v>17</v>
      </c>
      <c r="E71" s="204">
        <f>IF(Y80+Z80=0,"",CONCATENATE(Z80,":",Y80))</f>
      </c>
      <c r="F71" s="204">
        <f>IF(Z82+Y82=0,"",CONCATENATE(Y82,":",Z82))</f>
      </c>
      <c r="G71" s="204">
        <f>IF(Y70+Z70=0,"",CONCATENATE(Y70,":",Z70))</f>
      </c>
      <c r="H71" s="207">
        <f>IF(Y75+Z75=0,"",CONCATENATE(Z75,":",Y75))</f>
      </c>
      <c r="I71" s="190">
        <f>IF(AD70+AE74+AD75+AD80+AE82=0,"",AD70+AE74+AD75+AD80+AE82)</f>
      </c>
      <c r="J71" s="119"/>
      <c r="L71" s="4" t="str">
        <f t="shared" si="39"/>
        <v>bye - bye</v>
      </c>
      <c r="M71" s="4" t="str">
        <f t="shared" si="51"/>
        <v>Dvouhra - Skupina D</v>
      </c>
      <c r="N71" s="4">
        <f>A72</f>
        <v>0</v>
      </c>
      <c r="O71" s="4" t="str">
        <f>IF($N71=0,"bye",VLOOKUP($N71,seznam!$A$2:$C$40,2,FALSE))</f>
        <v>bye</v>
      </c>
      <c r="P71" s="4">
        <f>IF($N71=0,"",VLOOKUP($N71,seznam!$A$2:$D$40,4,FALSE))</f>
      </c>
      <c r="Q71" s="4">
        <f>A73</f>
        <v>0</v>
      </c>
      <c r="R71" s="4" t="str">
        <f>IF($Q71=0,"bye",VLOOKUP($Q71,seznam!$A$2:$C$40,2,FALSE))</f>
        <v>bye</v>
      </c>
      <c r="S71" s="4">
        <f>IF($Q71=0,"",VLOOKUP($Q71,seznam!$A$2:$D$40,4,FALSE))</f>
      </c>
      <c r="T71" s="115"/>
      <c r="U71" s="116"/>
      <c r="V71" s="116"/>
      <c r="W71" s="116"/>
      <c r="X71" s="120"/>
      <c r="Y71" s="4">
        <f t="shared" si="40"/>
        <v>0</v>
      </c>
      <c r="Z71" s="4">
        <f t="shared" si="41"/>
        <v>0</v>
      </c>
      <c r="AA71" s="4">
        <f t="shared" si="42"/>
        <v>0</v>
      </c>
      <c r="AB71" s="4">
        <f>IF($AA71=0,"",VLOOKUP($AA71,seznam!$A$2:$C$40,2,FALSE))</f>
      </c>
      <c r="AC71" s="4">
        <f t="shared" si="43"/>
      </c>
      <c r="AD71" s="4">
        <f t="shared" si="44"/>
        <v>0</v>
      </c>
      <c r="AE71" s="4">
        <f t="shared" si="45"/>
        <v>0</v>
      </c>
      <c r="AG71" s="4">
        <f t="shared" si="46"/>
        <v>0</v>
      </c>
      <c r="AH71" s="4">
        <f t="shared" si="47"/>
        <v>0</v>
      </c>
      <c r="AI71" s="4">
        <f t="shared" si="48"/>
        <v>0</v>
      </c>
      <c r="AJ71" s="4">
        <f t="shared" si="49"/>
        <v>0</v>
      </c>
      <c r="AK71" s="4">
        <f t="shared" si="50"/>
        <v>0</v>
      </c>
    </row>
    <row r="72" spans="1:37" ht="16.5" customHeight="1">
      <c r="A72" s="248"/>
      <c r="B72" s="112">
        <f>IF($A72="","",CONCATENATE(VLOOKUP($A72,seznam!$A$2:$B$40,2,FALSE)," (",VLOOKUP($A72,seznam!$A$2:$H$40,5,FALSE),")"))</f>
      </c>
      <c r="C72" s="208">
        <f>IF(Y76+Z76=0,"",CONCATENATE(Z76,":",Y76))</f>
      </c>
      <c r="D72" s="204">
        <f>IF(Z80+Y80=0,"",CONCATENATE(Y80,":",Z80))</f>
      </c>
      <c r="E72" s="204" t="s">
        <v>17</v>
      </c>
      <c r="F72" s="204">
        <f>IF(Y71+Z71=0,"",CONCATENATE(Z71,":",Y71))</f>
      </c>
      <c r="G72" s="204">
        <f>IF(Z73+Y73=0,"",CONCATENATE(Y73,":",Z73))</f>
      </c>
      <c r="H72" s="207">
        <f>IF(Y81+Z81=0,"",CONCATENATE(Z81,":",Y81))</f>
      </c>
      <c r="I72" s="190">
        <f>IF(AD71+AE73+AD76+AE80+AD81=0,"",AD71+AE73+AD76+AE80+AD81)</f>
      </c>
      <c r="J72" s="119"/>
      <c r="K72" s="199" t="s">
        <v>51</v>
      </c>
      <c r="L72" s="4" t="str">
        <f t="shared" si="39"/>
        <v>bye - bye</v>
      </c>
      <c r="M72" s="4" t="str">
        <f t="shared" si="51"/>
        <v>Dvouhra - Skupina D</v>
      </c>
      <c r="N72" s="4">
        <f>A75</f>
        <v>0</v>
      </c>
      <c r="O72" s="4" t="str">
        <f>IF($N72=0,"bye",VLOOKUP($N72,seznam!$A$2:$C$40,2,FALSE))</f>
        <v>bye</v>
      </c>
      <c r="P72" s="4">
        <f>IF($N72=0,"",VLOOKUP($N72,seznam!$A$2:$D$40,4,FALSE))</f>
      </c>
      <c r="Q72" s="4">
        <f>A73</f>
        <v>0</v>
      </c>
      <c r="R72" s="4" t="str">
        <f>IF($Q72=0,"bye",VLOOKUP($Q72,seznam!$A$2:$C$40,2,FALSE))</f>
        <v>bye</v>
      </c>
      <c r="S72" s="4">
        <f>IF($Q72=0,"",VLOOKUP($Q72,seznam!$A$2:$D$40,4,FALSE))</f>
      </c>
      <c r="T72" s="115"/>
      <c r="U72" s="116"/>
      <c r="V72" s="116"/>
      <c r="W72" s="116"/>
      <c r="X72" s="120"/>
      <c r="Y72" s="4">
        <f t="shared" si="40"/>
        <v>0</v>
      </c>
      <c r="Z72" s="4">
        <f t="shared" si="41"/>
        <v>0</v>
      </c>
      <c r="AA72" s="4">
        <f t="shared" si="42"/>
        <v>0</v>
      </c>
      <c r="AB72" s="4">
        <f>IF($AA72=0,"",VLOOKUP($AA72,seznam!$A$2:$C$40,2,FALSE))</f>
      </c>
      <c r="AC72" s="4">
        <f t="shared" si="43"/>
      </c>
      <c r="AD72" s="4">
        <f t="shared" si="44"/>
        <v>0</v>
      </c>
      <c r="AE72" s="4">
        <f t="shared" si="45"/>
        <v>0</v>
      </c>
      <c r="AG72" s="4">
        <f t="shared" si="46"/>
        <v>0</v>
      </c>
      <c r="AH72" s="4">
        <f t="shared" si="47"/>
        <v>0</v>
      </c>
      <c r="AI72" s="4">
        <f t="shared" si="48"/>
        <v>0</v>
      </c>
      <c r="AJ72" s="4">
        <f t="shared" si="49"/>
        <v>0</v>
      </c>
      <c r="AK72" s="4">
        <f t="shared" si="50"/>
        <v>0</v>
      </c>
    </row>
    <row r="73" spans="1:37" ht="16.5" customHeight="1">
      <c r="A73" s="249"/>
      <c r="B73" s="112">
        <f>IF($A73="","",CONCATENATE(VLOOKUP($A73,seznam!$A$2:$B$40,2,FALSE)," (",VLOOKUP($A73,seznam!$A$2:$H$40,5,FALSE),")"))</f>
      </c>
      <c r="C73" s="208">
        <f>IF(Z79+Y79=0,"",CONCATENATE(Y79,":",Z79))</f>
      </c>
      <c r="D73" s="204">
        <f>IF(Y82+Z82=0,"",CONCATENATE(Y82,":",Y82))</f>
      </c>
      <c r="E73" s="204">
        <f>IF(Z71+Y71=0,"",CONCATENATE(Y71,":",Z71))</f>
      </c>
      <c r="F73" s="204" t="s">
        <v>17</v>
      </c>
      <c r="G73" s="204">
        <f>IF(Y77+Z77=0,"",CONCATENATE(Z77,":",Y77))</f>
      </c>
      <c r="H73" s="207">
        <f>IF(Z72+Y72=0,"",CONCATENATE(Y72,":",Z72))</f>
      </c>
      <c r="I73" s="190">
        <f>IF(AE71+AE72+AD77+AE79+AD82=0,"",AE71+AE72+AD77+AE79+AD82)</f>
      </c>
      <c r="J73" s="121"/>
      <c r="L73" s="4" t="str">
        <f t="shared" si="39"/>
        <v>bye - bye</v>
      </c>
      <c r="M73" s="4" t="str">
        <f t="shared" si="51"/>
        <v>Dvouhra - Skupina D</v>
      </c>
      <c r="N73" s="4">
        <f>A74</f>
        <v>0</v>
      </c>
      <c r="O73" s="4" t="str">
        <f>IF($N73=0,"bye",VLOOKUP($N73,seznam!$A$2:$C$40,2,FALSE))</f>
        <v>bye</v>
      </c>
      <c r="P73" s="4">
        <f>IF($N73=0,"",VLOOKUP($N73,seznam!$A$2:$D$40,4,FALSE))</f>
      </c>
      <c r="Q73" s="4">
        <f>A72</f>
        <v>0</v>
      </c>
      <c r="R73" s="4" t="str">
        <f>IF($Q73=0,"bye",VLOOKUP($Q73,seznam!$A$2:$C$40,2,FALSE))</f>
        <v>bye</v>
      </c>
      <c r="S73" s="4">
        <f>IF($Q73=0,"",VLOOKUP($Q73,seznam!$A$2:$D$40,4,FALSE))</f>
      </c>
      <c r="T73" s="115"/>
      <c r="U73" s="116"/>
      <c r="V73" s="116"/>
      <c r="W73" s="116"/>
      <c r="X73" s="117"/>
      <c r="Y73" s="4">
        <f t="shared" si="40"/>
        <v>0</v>
      </c>
      <c r="Z73" s="4">
        <f t="shared" si="41"/>
        <v>0</v>
      </c>
      <c r="AA73" s="4">
        <f t="shared" si="42"/>
        <v>0</v>
      </c>
      <c r="AB73" s="4">
        <f>IF($AA73=0,"",VLOOKUP($AA73,seznam!$A$2:$C$40,2,FALSE))</f>
      </c>
      <c r="AC73" s="4">
        <f t="shared" si="43"/>
      </c>
      <c r="AD73" s="4">
        <f t="shared" si="44"/>
        <v>0</v>
      </c>
      <c r="AE73" s="4">
        <f t="shared" si="45"/>
        <v>0</v>
      </c>
      <c r="AG73" s="4">
        <f t="shared" si="46"/>
        <v>0</v>
      </c>
      <c r="AH73" s="4">
        <f t="shared" si="47"/>
        <v>0</v>
      </c>
      <c r="AI73" s="4">
        <f t="shared" si="48"/>
        <v>0</v>
      </c>
      <c r="AJ73" s="4">
        <f t="shared" si="49"/>
        <v>0</v>
      </c>
      <c r="AK73" s="4">
        <f t="shared" si="50"/>
        <v>0</v>
      </c>
    </row>
    <row r="74" spans="1:37" ht="16.5" customHeight="1">
      <c r="A74" s="249"/>
      <c r="B74" s="112">
        <f>IF($A74="","",CONCATENATE(VLOOKUP($A74,seznam!$A$2:$B$40,2,FALSE)," (",VLOOKUP($A74,seznam!$A$2:$H$40,5,FALSE),")"))</f>
      </c>
      <c r="C74" s="208">
        <f>IF(Y83+Z83=0,"",CONCATENATE(Z83,":",Y83))</f>
      </c>
      <c r="D74" s="204">
        <f>IF(Z70+Y70=0,"",CONCATENATE(Z70,":",Y70))</f>
      </c>
      <c r="E74" s="204">
        <f>IF(Y73+Z73=0,"",CONCATENATE(Z73,":",Y73))</f>
      </c>
      <c r="F74" s="204">
        <f>IF(Z77+Y77=0,"",CONCATENATE(Y77,":",Z77))</f>
      </c>
      <c r="G74" s="204" t="s">
        <v>17</v>
      </c>
      <c r="H74" s="207">
        <f>IF(Z78+Y78=0,"",CONCATENATE(Y78,":",Z78))</f>
      </c>
      <c r="I74" s="190">
        <f>IF(AE70+AD73+AE77+AE78+AD83=0,"",AE70+AD73+AE77+AE78+AD83)</f>
      </c>
      <c r="J74" s="121"/>
      <c r="L74" s="4" t="str">
        <f t="shared" si="39"/>
        <v>bye - bye</v>
      </c>
      <c r="M74" s="4" t="str">
        <f t="shared" si="51"/>
        <v>Dvouhra - Skupina D</v>
      </c>
      <c r="N74" s="4">
        <f>A70</f>
        <v>0</v>
      </c>
      <c r="O74" s="4" t="str">
        <f>IF($N74=0,"bye",VLOOKUP($N74,seznam!$A$2:$C$40,2,FALSE))</f>
        <v>bye</v>
      </c>
      <c r="P74" s="4">
        <f>IF($N74=0,"",VLOOKUP($N74,seznam!$A$2:$D$40,4,FALSE))</f>
      </c>
      <c r="Q74" s="4">
        <f>A71</f>
        <v>0</v>
      </c>
      <c r="R74" s="4" t="str">
        <f>IF($Q74=0,"bye",VLOOKUP($Q74,seznam!$A$2:$C$40,2,FALSE))</f>
        <v>bye</v>
      </c>
      <c r="S74" s="4">
        <f>IF($Q74=0,"",VLOOKUP($Q74,seznam!$A$2:$D$40,4,FALSE))</f>
      </c>
      <c r="T74" s="115"/>
      <c r="U74" s="116"/>
      <c r="V74" s="116"/>
      <c r="W74" s="116"/>
      <c r="X74" s="117"/>
      <c r="Y74" s="4">
        <f t="shared" si="40"/>
        <v>0</v>
      </c>
      <c r="Z74" s="4">
        <f t="shared" si="41"/>
        <v>0</v>
      </c>
      <c r="AA74" s="4">
        <f t="shared" si="42"/>
        <v>0</v>
      </c>
      <c r="AB74" s="4">
        <f>IF($AA74=0,"",VLOOKUP($AA74,seznam!$A$2:$C$40,2,FALSE))</f>
      </c>
      <c r="AC74" s="4">
        <f t="shared" si="43"/>
      </c>
      <c r="AD74" s="4">
        <f t="shared" si="44"/>
        <v>0</v>
      </c>
      <c r="AE74" s="4">
        <f t="shared" si="45"/>
        <v>0</v>
      </c>
      <c r="AG74" s="4">
        <f t="shared" si="46"/>
        <v>0</v>
      </c>
      <c r="AH74" s="4">
        <f t="shared" si="47"/>
        <v>0</v>
      </c>
      <c r="AI74" s="4">
        <f t="shared" si="48"/>
        <v>0</v>
      </c>
      <c r="AJ74" s="4">
        <f t="shared" si="49"/>
        <v>0</v>
      </c>
      <c r="AK74" s="4">
        <f t="shared" si="50"/>
        <v>0</v>
      </c>
    </row>
    <row r="75" spans="1:37" ht="16.5" customHeight="1" thickBot="1">
      <c r="A75" s="250"/>
      <c r="B75" s="112">
        <f>IF($A75="","",CONCATENATE(VLOOKUP($A75,seznam!$A$2:$B$40,2,FALSE)," (",VLOOKUP($A75,seznam!$A$2:$H$40,5,FALSE),")"))</f>
      </c>
      <c r="C75" s="210">
        <f>IF(Z69+Y69=0,"",CONCATENATE(Y69,":",Z69))</f>
      </c>
      <c r="D75" s="211">
        <f>IF(Z75+Y75=0,"",CONCATENATE(Y75,":",Z75))</f>
      </c>
      <c r="E75" s="211">
        <f>IF(Z81+Y81=0,"",CONCATENATE(Y81,":",Z81))</f>
      </c>
      <c r="F75" s="211">
        <f>IF(Y72+Z72=0,"",CONCATENATE(Z72,":",Y72))</f>
      </c>
      <c r="G75" s="211">
        <f>IF(Y78+Z78=0,"",CONCATENATE(Z78,":",Y78))</f>
      </c>
      <c r="H75" s="212" t="s">
        <v>17</v>
      </c>
      <c r="I75" s="191">
        <f>IF(AE69+AD72+AE75+AD78+AD81=0,"",AE69+AD72+AE75+AD78+AD81)</f>
      </c>
      <c r="J75" s="124"/>
      <c r="K75" s="199" t="s">
        <v>49</v>
      </c>
      <c r="L75" s="4" t="str">
        <f t="shared" si="39"/>
        <v>bye - bye</v>
      </c>
      <c r="M75" s="4" t="str">
        <f t="shared" si="51"/>
        <v>Dvouhra - Skupina D</v>
      </c>
      <c r="N75" s="4">
        <f>A71</f>
        <v>0</v>
      </c>
      <c r="O75" s="4" t="str">
        <f>IF($N75=0,"bye",VLOOKUP($N75,seznam!$A$2:$C$40,2,FALSE))</f>
        <v>bye</v>
      </c>
      <c r="P75" s="4">
        <f>IF($N75=0,"",VLOOKUP($N75,seznam!$A$2:$D$40,4,FALSE))</f>
      </c>
      <c r="Q75" s="4">
        <f>A75</f>
        <v>0</v>
      </c>
      <c r="R75" s="4" t="str">
        <f>IF($Q75=0,"bye",VLOOKUP($Q75,seznam!$A$2:$C$40,2,FALSE))</f>
        <v>bye</v>
      </c>
      <c r="S75" s="4">
        <f>IF($Q75=0,"",VLOOKUP($Q75,seznam!$A$2:$D$40,4,FALSE))</f>
      </c>
      <c r="T75" s="115"/>
      <c r="U75" s="116"/>
      <c r="V75" s="116"/>
      <c r="W75" s="116"/>
      <c r="X75" s="117"/>
      <c r="Y75" s="4">
        <f t="shared" si="40"/>
        <v>0</v>
      </c>
      <c r="Z75" s="4">
        <f t="shared" si="41"/>
        <v>0</v>
      </c>
      <c r="AA75" s="4">
        <f t="shared" si="42"/>
        <v>0</v>
      </c>
      <c r="AB75" s="4">
        <f>IF($AA75=0,"",VLOOKUP($AA75,seznam!$A$2:$C$40,2,FALSE))</f>
      </c>
      <c r="AC75" s="4">
        <f t="shared" si="43"/>
      </c>
      <c r="AD75" s="4">
        <f t="shared" si="44"/>
        <v>0</v>
      </c>
      <c r="AE75" s="4">
        <f t="shared" si="45"/>
        <v>0</v>
      </c>
      <c r="AG75" s="4">
        <f t="shared" si="46"/>
        <v>0</v>
      </c>
      <c r="AH75" s="4">
        <f t="shared" si="47"/>
        <v>0</v>
      </c>
      <c r="AI75" s="4">
        <f t="shared" si="48"/>
        <v>0</v>
      </c>
      <c r="AJ75" s="4">
        <f t="shared" si="49"/>
        <v>0</v>
      </c>
      <c r="AK75" s="4">
        <f t="shared" si="50"/>
        <v>0</v>
      </c>
    </row>
    <row r="76" spans="12:37" ht="16.5" customHeight="1" thickTop="1">
      <c r="L76" s="4" t="str">
        <f t="shared" si="39"/>
        <v>bye - bye</v>
      </c>
      <c r="M76" s="4" t="str">
        <f t="shared" si="51"/>
        <v>Dvouhra - Skupina D</v>
      </c>
      <c r="N76" s="4">
        <f>A72</f>
        <v>0</v>
      </c>
      <c r="O76" s="4" t="str">
        <f>IF($N76=0,"bye",VLOOKUP($N76,seznam!$A$2:$C$40,2,FALSE))</f>
        <v>bye</v>
      </c>
      <c r="P76" s="4">
        <f>IF($N76=0,"",VLOOKUP($N76,seznam!$A$2:$D$40,4,FALSE))</f>
      </c>
      <c r="Q76" s="4">
        <f>A70</f>
        <v>0</v>
      </c>
      <c r="R76" s="4" t="str">
        <f>IF($Q76=0,"bye",VLOOKUP($Q76,seznam!$A$2:$C$40,2,FALSE))</f>
        <v>bye</v>
      </c>
      <c r="S76" s="4">
        <f>IF($Q76=0,"",VLOOKUP($Q76,seznam!$A$2:$D$40,4,FALSE))</f>
      </c>
      <c r="T76" s="115"/>
      <c r="U76" s="116"/>
      <c r="V76" s="116"/>
      <c r="W76" s="116"/>
      <c r="X76" s="117"/>
      <c r="Y76" s="4">
        <f t="shared" si="40"/>
        <v>0</v>
      </c>
      <c r="Z76" s="4">
        <f t="shared" si="41"/>
        <v>0</v>
      </c>
      <c r="AA76" s="4">
        <f t="shared" si="42"/>
        <v>0</v>
      </c>
      <c r="AB76" s="4">
        <f>IF($AA76=0,"",VLOOKUP($AA76,seznam!$A$2:$C$40,2,FALSE))</f>
      </c>
      <c r="AC76" s="4">
        <f t="shared" si="43"/>
      </c>
      <c r="AD76" s="4">
        <f t="shared" si="44"/>
        <v>0</v>
      </c>
      <c r="AE76" s="4">
        <f t="shared" si="45"/>
        <v>0</v>
      </c>
      <c r="AG76" s="4">
        <f t="shared" si="46"/>
        <v>0</v>
      </c>
      <c r="AH76" s="4">
        <f t="shared" si="47"/>
        <v>0</v>
      </c>
      <c r="AI76" s="4">
        <f t="shared" si="48"/>
        <v>0</v>
      </c>
      <c r="AJ76" s="4">
        <f t="shared" si="49"/>
        <v>0</v>
      </c>
      <c r="AK76" s="4">
        <f t="shared" si="50"/>
        <v>0</v>
      </c>
    </row>
    <row r="77" spans="2:37" ht="16.5" customHeight="1">
      <c r="B77" s="100"/>
      <c r="E77" s="100"/>
      <c r="L77" s="4" t="str">
        <f t="shared" si="39"/>
        <v>bye - bye</v>
      </c>
      <c r="M77" s="4" t="str">
        <f t="shared" si="51"/>
        <v>Dvouhra - Skupina D</v>
      </c>
      <c r="N77" s="4">
        <f>A73</f>
        <v>0</v>
      </c>
      <c r="O77" s="4" t="str">
        <f>IF($N77=0,"bye",VLOOKUP($N77,seznam!$A$2:$C$40,2,FALSE))</f>
        <v>bye</v>
      </c>
      <c r="P77" s="4">
        <f>IF($N77=0,"",VLOOKUP($N77,seznam!$A$2:$D$40,4,FALSE))</f>
      </c>
      <c r="Q77" s="4">
        <f>A74</f>
        <v>0</v>
      </c>
      <c r="R77" s="4" t="str">
        <f>IF($Q77=0,"bye",VLOOKUP($Q77,seznam!$A$2:$C$40,2,FALSE))</f>
        <v>bye</v>
      </c>
      <c r="S77" s="4">
        <f>IF($Q77=0,"",VLOOKUP($Q77,seznam!$A$2:$D$40,4,FALSE))</f>
      </c>
      <c r="T77" s="115"/>
      <c r="U77" s="116"/>
      <c r="V77" s="116"/>
      <c r="W77" s="116"/>
      <c r="X77" s="117"/>
      <c r="Y77" s="4">
        <f t="shared" si="40"/>
        <v>0</v>
      </c>
      <c r="Z77" s="4">
        <f t="shared" si="41"/>
        <v>0</v>
      </c>
      <c r="AA77" s="4">
        <f t="shared" si="42"/>
        <v>0</v>
      </c>
      <c r="AB77" s="4">
        <f>IF($AA77=0,"",VLOOKUP($AA77,seznam!$A$2:$C$40,2,FALSE))</f>
      </c>
      <c r="AC77" s="4">
        <f t="shared" si="43"/>
      </c>
      <c r="AD77" s="4">
        <f t="shared" si="44"/>
        <v>0</v>
      </c>
      <c r="AE77" s="4">
        <f t="shared" si="45"/>
        <v>0</v>
      </c>
      <c r="AG77" s="4">
        <f t="shared" si="46"/>
        <v>0</v>
      </c>
      <c r="AH77" s="4">
        <f t="shared" si="47"/>
        <v>0</v>
      </c>
      <c r="AI77" s="4">
        <f t="shared" si="48"/>
        <v>0</v>
      </c>
      <c r="AJ77" s="4">
        <f t="shared" si="49"/>
        <v>0</v>
      </c>
      <c r="AK77" s="4">
        <f t="shared" si="50"/>
        <v>0</v>
      </c>
    </row>
    <row r="78" spans="3:37" ht="16.5" customHeight="1">
      <c r="C78" s="99"/>
      <c r="I78" s="99"/>
      <c r="K78" s="199" t="s">
        <v>52</v>
      </c>
      <c r="L78" s="4" t="str">
        <f t="shared" si="39"/>
        <v>bye - bye</v>
      </c>
      <c r="M78" s="4" t="str">
        <f t="shared" si="51"/>
        <v>Dvouhra - Skupina D</v>
      </c>
      <c r="N78" s="4">
        <f>A75</f>
        <v>0</v>
      </c>
      <c r="O78" s="4" t="str">
        <f>IF($N78=0,"bye",VLOOKUP($N78,seznam!$A$2:$C$40,2,FALSE))</f>
        <v>bye</v>
      </c>
      <c r="P78" s="4">
        <f>IF($N78=0,"",VLOOKUP($N78,seznam!$A$2:$D$40,4,FALSE))</f>
      </c>
      <c r="Q78" s="4">
        <f>A74</f>
        <v>0</v>
      </c>
      <c r="R78" s="4" t="str">
        <f>IF($Q78=0,"bye",VLOOKUP($Q78,seznam!$A$2:$C$40,2,FALSE))</f>
        <v>bye</v>
      </c>
      <c r="S78" s="4">
        <f>IF($Q78=0,"",VLOOKUP($Q78,seznam!$A$2:$D$40,4,FALSE))</f>
      </c>
      <c r="T78" s="115"/>
      <c r="U78" s="116"/>
      <c r="V78" s="116"/>
      <c r="W78" s="116"/>
      <c r="X78" s="117"/>
      <c r="Y78" s="4">
        <f t="shared" si="40"/>
        <v>0</v>
      </c>
      <c r="Z78" s="4">
        <f t="shared" si="41"/>
        <v>0</v>
      </c>
      <c r="AA78" s="4">
        <f t="shared" si="42"/>
        <v>0</v>
      </c>
      <c r="AB78" s="4">
        <f>IF($AA78=0,"",VLOOKUP($AA78,seznam!$A$2:$C$40,2,FALSE))</f>
      </c>
      <c r="AC78" s="4">
        <f t="shared" si="43"/>
      </c>
      <c r="AD78" s="4">
        <f t="shared" si="44"/>
        <v>0</v>
      </c>
      <c r="AE78" s="4">
        <f t="shared" si="45"/>
        <v>0</v>
      </c>
      <c r="AG78" s="4">
        <f t="shared" si="46"/>
        <v>0</v>
      </c>
      <c r="AH78" s="4">
        <f t="shared" si="47"/>
        <v>0</v>
      </c>
      <c r="AI78" s="4">
        <f t="shared" si="48"/>
        <v>0</v>
      </c>
      <c r="AJ78" s="4">
        <f t="shared" si="49"/>
        <v>0</v>
      </c>
      <c r="AK78" s="4">
        <f t="shared" si="50"/>
        <v>0</v>
      </c>
    </row>
    <row r="79" spans="3:37" ht="16.5" customHeight="1">
      <c r="C79" s="99"/>
      <c r="I79" s="99"/>
      <c r="L79" s="4" t="str">
        <f t="shared" si="39"/>
        <v>bye - bye</v>
      </c>
      <c r="M79" s="4" t="str">
        <f t="shared" si="51"/>
        <v>Dvouhra - Skupina D</v>
      </c>
      <c r="N79" s="4">
        <f>A70</f>
        <v>0</v>
      </c>
      <c r="O79" s="4" t="str">
        <f>IF($N79=0,"bye",VLOOKUP($N79,seznam!$A$2:$C$40,2,FALSE))</f>
        <v>bye</v>
      </c>
      <c r="P79" s="4">
        <f>IF($N79=0,"",VLOOKUP($N79,seznam!$A$2:$D$40,4,FALSE))</f>
      </c>
      <c r="Q79" s="4">
        <f>A73</f>
        <v>0</v>
      </c>
      <c r="R79" s="4" t="str">
        <f>IF($Q79=0,"bye",VLOOKUP($Q79,seznam!$A$2:$C$40,2,FALSE))</f>
        <v>bye</v>
      </c>
      <c r="S79" s="4">
        <f>IF($Q79=0,"",VLOOKUP($Q79,seznam!$A$2:$D$40,4,FALSE))</f>
      </c>
      <c r="T79" s="115"/>
      <c r="U79" s="116"/>
      <c r="V79" s="116"/>
      <c r="W79" s="116"/>
      <c r="X79" s="117"/>
      <c r="Y79" s="4">
        <f t="shared" si="40"/>
        <v>0</v>
      </c>
      <c r="Z79" s="4">
        <f t="shared" si="41"/>
        <v>0</v>
      </c>
      <c r="AA79" s="4">
        <f t="shared" si="42"/>
        <v>0</v>
      </c>
      <c r="AB79" s="4">
        <f>IF($AA79=0,"",VLOOKUP($AA79,seznam!$A$2:$C$40,2,FALSE))</f>
      </c>
      <c r="AC79" s="4">
        <f t="shared" si="43"/>
      </c>
      <c r="AD79" s="4">
        <f t="shared" si="44"/>
        <v>0</v>
      </c>
      <c r="AE79" s="4">
        <f t="shared" si="45"/>
        <v>0</v>
      </c>
      <c r="AG79" s="4">
        <f t="shared" si="46"/>
        <v>0</v>
      </c>
      <c r="AH79" s="4">
        <f t="shared" si="47"/>
        <v>0</v>
      </c>
      <c r="AI79" s="4">
        <f t="shared" si="48"/>
        <v>0</v>
      </c>
      <c r="AJ79" s="4">
        <f t="shared" si="49"/>
        <v>0</v>
      </c>
      <c r="AK79" s="4">
        <f t="shared" si="50"/>
        <v>0</v>
      </c>
    </row>
    <row r="80" spans="3:37" ht="16.5" customHeight="1">
      <c r="C80" s="99"/>
      <c r="I80" s="99"/>
      <c r="L80" s="4" t="str">
        <f t="shared" si="39"/>
        <v>bye - bye</v>
      </c>
      <c r="M80" s="4" t="str">
        <f t="shared" si="51"/>
        <v>Dvouhra - Skupina D</v>
      </c>
      <c r="N80" s="4">
        <f>A71</f>
        <v>0</v>
      </c>
      <c r="O80" s="4" t="str">
        <f>IF($N80=0,"bye",VLOOKUP($N80,seznam!$A$2:$C$40,2,FALSE))</f>
        <v>bye</v>
      </c>
      <c r="P80" s="4">
        <f>IF($N80=0,"",VLOOKUP($N80,seznam!$A$2:$D$40,4,FALSE))</f>
      </c>
      <c r="Q80" s="4">
        <f>A72</f>
        <v>0</v>
      </c>
      <c r="R80" s="4" t="str">
        <f>IF($Q80=0,"bye",VLOOKUP($Q80,seznam!$A$2:$C$40,2,FALSE))</f>
        <v>bye</v>
      </c>
      <c r="S80" s="4">
        <f>IF($Q80=0,"",VLOOKUP($Q80,seznam!$A$2:$D$40,4,FALSE))</f>
      </c>
      <c r="T80" s="115"/>
      <c r="U80" s="116"/>
      <c r="V80" s="116"/>
      <c r="W80" s="116"/>
      <c r="X80" s="120"/>
      <c r="Y80" s="4">
        <f t="shared" si="40"/>
        <v>0</v>
      </c>
      <c r="Z80" s="4">
        <f t="shared" si="41"/>
        <v>0</v>
      </c>
      <c r="AA80" s="4">
        <f t="shared" si="42"/>
        <v>0</v>
      </c>
      <c r="AB80" s="4">
        <f>IF($AA80=0,"",VLOOKUP($AA80,seznam!$A$2:$C$40,2,FALSE))</f>
      </c>
      <c r="AC80" s="4">
        <f t="shared" si="43"/>
      </c>
      <c r="AD80" s="4">
        <f t="shared" si="44"/>
        <v>0</v>
      </c>
      <c r="AE80" s="4">
        <f t="shared" si="45"/>
        <v>0</v>
      </c>
      <c r="AG80" s="4">
        <f t="shared" si="46"/>
        <v>0</v>
      </c>
      <c r="AH80" s="4">
        <f t="shared" si="47"/>
        <v>0</v>
      </c>
      <c r="AI80" s="4">
        <f t="shared" si="48"/>
        <v>0</v>
      </c>
      <c r="AJ80" s="4">
        <f t="shared" si="49"/>
        <v>0</v>
      </c>
      <c r="AK80" s="4">
        <f t="shared" si="50"/>
        <v>0</v>
      </c>
    </row>
    <row r="81" spans="2:37" ht="16.5" customHeight="1">
      <c r="B81" s="100"/>
      <c r="E81" s="100"/>
      <c r="K81" s="199" t="s">
        <v>50</v>
      </c>
      <c r="L81" s="4" t="str">
        <f t="shared" si="39"/>
        <v>bye - bye</v>
      </c>
      <c r="M81" s="4" t="str">
        <f t="shared" si="51"/>
        <v>Dvouhra - Skupina D</v>
      </c>
      <c r="N81" s="4">
        <f>A72</f>
        <v>0</v>
      </c>
      <c r="O81" s="4" t="str">
        <f>IF($N81=0,"bye",VLOOKUP($N81,seznam!$A$2:$C$40,2,FALSE))</f>
        <v>bye</v>
      </c>
      <c r="P81" s="4">
        <f>IF($N81=0,"",VLOOKUP($N81,seznam!$A$2:$D$40,4,FALSE))</f>
      </c>
      <c r="Q81" s="4">
        <f>A75</f>
        <v>0</v>
      </c>
      <c r="R81" s="4" t="str">
        <f>IF($Q81=0,"bye",VLOOKUP($Q81,seznam!$A$2:$C$40,2,FALSE))</f>
        <v>bye</v>
      </c>
      <c r="S81" s="4">
        <f>IF($Q81=0,"",VLOOKUP($Q81,seznam!$A$2:$D$40,4,FALSE))</f>
      </c>
      <c r="T81" s="115"/>
      <c r="U81" s="116"/>
      <c r="V81" s="116"/>
      <c r="W81" s="116"/>
      <c r="X81" s="117"/>
      <c r="Y81" s="4">
        <f t="shared" si="40"/>
        <v>0</v>
      </c>
      <c r="Z81" s="4">
        <f t="shared" si="41"/>
        <v>0</v>
      </c>
      <c r="AA81" s="4">
        <f t="shared" si="42"/>
        <v>0</v>
      </c>
      <c r="AB81" s="4">
        <f>IF($AA81=0,"",VLOOKUP($AA81,seznam!$A$2:$C$40,2,FALSE))</f>
      </c>
      <c r="AC81" s="4">
        <f t="shared" si="43"/>
      </c>
      <c r="AD81" s="4">
        <f t="shared" si="44"/>
        <v>0</v>
      </c>
      <c r="AE81" s="4">
        <f t="shared" si="45"/>
        <v>0</v>
      </c>
      <c r="AG81" s="4">
        <f t="shared" si="46"/>
        <v>0</v>
      </c>
      <c r="AH81" s="4">
        <f t="shared" si="47"/>
        <v>0</v>
      </c>
      <c r="AI81" s="4">
        <f t="shared" si="48"/>
        <v>0</v>
      </c>
      <c r="AJ81" s="4">
        <f t="shared" si="49"/>
        <v>0</v>
      </c>
      <c r="AK81" s="4">
        <f t="shared" si="50"/>
        <v>0</v>
      </c>
    </row>
    <row r="82" spans="3:37" ht="16.5" customHeight="1">
      <c r="C82" s="99"/>
      <c r="L82" s="4" t="str">
        <f t="shared" si="39"/>
        <v>bye - bye</v>
      </c>
      <c r="M82" s="4" t="str">
        <f t="shared" si="51"/>
        <v>Dvouhra - Skupina D</v>
      </c>
      <c r="N82" s="4">
        <f>A73</f>
        <v>0</v>
      </c>
      <c r="O82" s="4" t="str">
        <f>IF($N82=0,"bye",VLOOKUP($N82,seznam!$A$2:$C$40,2,FALSE))</f>
        <v>bye</v>
      </c>
      <c r="P82" s="4">
        <f>IF($N82=0,"",VLOOKUP($N82,seznam!$A$2:$D$40,4,FALSE))</f>
      </c>
      <c r="Q82" s="4">
        <f>A71</f>
        <v>0</v>
      </c>
      <c r="R82" s="4" t="str">
        <f>IF($Q82=0,"bye",VLOOKUP($Q82,seznam!$A$2:$C$40,2,FALSE))</f>
        <v>bye</v>
      </c>
      <c r="S82" s="4">
        <f>IF($Q82=0,"",VLOOKUP($Q82,seznam!$A$2:$D$40,4,FALSE))</f>
      </c>
      <c r="T82" s="115"/>
      <c r="U82" s="116"/>
      <c r="V82" s="116"/>
      <c r="W82" s="116"/>
      <c r="X82" s="120"/>
      <c r="Y82" s="4">
        <f t="shared" si="40"/>
        <v>0</v>
      </c>
      <c r="Z82" s="4">
        <f t="shared" si="41"/>
        <v>0</v>
      </c>
      <c r="AA82" s="4">
        <f t="shared" si="42"/>
        <v>0</v>
      </c>
      <c r="AB82" s="4">
        <f>IF($AA82=0,"",VLOOKUP($AA82,seznam!$A$2:$C$40,2,FALSE))</f>
      </c>
      <c r="AC82" s="4">
        <f t="shared" si="43"/>
      </c>
      <c r="AD82" s="4">
        <f t="shared" si="44"/>
        <v>0</v>
      </c>
      <c r="AE82" s="4">
        <f t="shared" si="45"/>
        <v>0</v>
      </c>
      <c r="AG82" s="4">
        <f t="shared" si="46"/>
        <v>0</v>
      </c>
      <c r="AH82" s="4">
        <f t="shared" si="47"/>
        <v>0</v>
      </c>
      <c r="AI82" s="4">
        <f t="shared" si="48"/>
        <v>0</v>
      </c>
      <c r="AJ82" s="4">
        <f t="shared" si="49"/>
        <v>0</v>
      </c>
      <c r="AK82" s="4">
        <f t="shared" si="50"/>
        <v>0</v>
      </c>
    </row>
    <row r="83" spans="3:37" ht="16.5" customHeight="1" thickBot="1">
      <c r="C83" s="99"/>
      <c r="L83" s="4" t="str">
        <f t="shared" si="39"/>
        <v>bye - bye</v>
      </c>
      <c r="M83" s="4" t="str">
        <f t="shared" si="51"/>
        <v>Dvouhra - Skupina D</v>
      </c>
      <c r="N83" s="4">
        <f>A74</f>
        <v>0</v>
      </c>
      <c r="O83" s="4" t="str">
        <f>IF($N83=0,"bye",VLOOKUP($N83,seznam!$A$2:$C$40,2,FALSE))</f>
        <v>bye</v>
      </c>
      <c r="P83" s="4">
        <f>IF($N83=0,"",VLOOKUP($N83,seznam!$A$2:$D$40,4,FALSE))</f>
      </c>
      <c r="Q83" s="4">
        <f>A70</f>
        <v>0</v>
      </c>
      <c r="R83" s="4" t="str">
        <f>IF($Q83=0,"bye",VLOOKUP($Q83,seznam!$A$2:$C$40,2,FALSE))</f>
        <v>bye</v>
      </c>
      <c r="S83" s="4">
        <f>IF($Q83=0,"",VLOOKUP($Q83,seznam!$A$2:$D$40,4,FALSE))</f>
      </c>
      <c r="T83" s="125"/>
      <c r="U83" s="126"/>
      <c r="V83" s="126"/>
      <c r="W83" s="126"/>
      <c r="X83" s="128"/>
      <c r="Y83" s="4">
        <f t="shared" si="40"/>
        <v>0</v>
      </c>
      <c r="Z83" s="4">
        <f t="shared" si="41"/>
        <v>0</v>
      </c>
      <c r="AA83" s="4">
        <f t="shared" si="42"/>
        <v>0</v>
      </c>
      <c r="AB83" s="4">
        <f>IF($AA83=0,"",VLOOKUP($AA83,seznam!$A$2:$C$40,2,FALSE))</f>
      </c>
      <c r="AC83" s="4">
        <f t="shared" si="43"/>
      </c>
      <c r="AD83" s="4">
        <f t="shared" si="44"/>
        <v>0</v>
      </c>
      <c r="AE83" s="4">
        <f t="shared" si="45"/>
        <v>0</v>
      </c>
      <c r="AG83" s="4">
        <f t="shared" si="46"/>
        <v>0</v>
      </c>
      <c r="AH83" s="4">
        <f t="shared" si="47"/>
        <v>0</v>
      </c>
      <c r="AI83" s="4">
        <f t="shared" si="48"/>
        <v>0</v>
      </c>
      <c r="AJ83" s="4">
        <f t="shared" si="49"/>
        <v>0</v>
      </c>
      <c r="AK83" s="4">
        <f t="shared" si="50"/>
        <v>0</v>
      </c>
    </row>
    <row r="84" spans="3:27" ht="16.5" customHeight="1" thickTop="1">
      <c r="C84" s="99"/>
      <c r="M84" s="100"/>
      <c r="N84" s="100"/>
      <c r="O84" s="100"/>
      <c r="P84" s="100"/>
      <c r="Q84" s="100"/>
      <c r="R84" s="100"/>
      <c r="S84" s="100"/>
      <c r="Y84" s="100"/>
      <c r="Z84" s="100"/>
      <c r="AA84" s="100"/>
    </row>
    <row r="85" ht="16.5" customHeight="1">
      <c r="B85" s="100"/>
    </row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printOptions horizontalCentered="1"/>
  <pageMargins left="0.1968503937007874" right="0.3937007874015748" top="0.5905511811023623" bottom="0.7874015748031497" header="0.5118110236220472" footer="0.5118110236220472"/>
  <pageSetup horizontalDpi="1200" verticalDpi="1200" orientation="landscape" paperSize="9" scale="60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4" customWidth="1"/>
    <col min="2" max="2" width="31.125" style="4" customWidth="1"/>
    <col min="3" max="12" width="4.875" style="4" customWidth="1"/>
    <col min="13" max="13" width="6.25390625" style="4" customWidth="1"/>
    <col min="14" max="14" width="24.75390625" style="4" customWidth="1"/>
    <col min="15" max="15" width="15.375" style="4" bestFit="1" customWidth="1"/>
    <col min="16" max="16" width="5.25390625" style="4" customWidth="1"/>
    <col min="17" max="18" width="11.875" style="4" bestFit="1" customWidth="1"/>
    <col min="19" max="19" width="4.75390625" style="4" bestFit="1" customWidth="1"/>
    <col min="20" max="21" width="11.875" style="4" bestFit="1" customWidth="1"/>
    <col min="22" max="24" width="5.00390625" style="4" customWidth="1"/>
    <col min="25" max="26" width="5.125" style="4" customWidth="1"/>
    <col min="27" max="29" width="4.75390625" style="4" customWidth="1"/>
    <col min="30" max="30" width="3.375" style="4" customWidth="1"/>
    <col min="31" max="31" width="3.125" style="4" customWidth="1"/>
    <col min="32" max="32" width="1.875" style="4" customWidth="1"/>
    <col min="33" max="39" width="3.125" style="4" customWidth="1"/>
    <col min="40" max="16384" width="9.125" style="4" customWidth="1"/>
  </cols>
  <sheetData>
    <row r="1" spans="1:14" ht="16.5" customHeight="1">
      <c r="A1" s="3"/>
      <c r="B1" s="2"/>
      <c r="C1" s="3"/>
      <c r="D1" s="3"/>
      <c r="E1" s="3"/>
      <c r="F1" s="3"/>
      <c r="G1" s="131"/>
      <c r="H1" s="131"/>
      <c r="I1" s="131"/>
      <c r="J1" s="131"/>
      <c r="K1" s="131"/>
      <c r="L1" s="131"/>
      <c r="N1" s="54" t="str">
        <f>CONCATENATE("Dvouhra - ",seznam!G2)</f>
        <v>Dvouhra - Zimní cena Jižního Města nejmladšího žactva</v>
      </c>
    </row>
    <row r="2" spans="1:14" ht="16.5" customHeight="1">
      <c r="A2" s="3"/>
      <c r="B2" s="5"/>
      <c r="C2" s="3"/>
      <c r="D2" s="3"/>
      <c r="E2" s="3"/>
      <c r="F2" s="3"/>
      <c r="G2" s="129"/>
      <c r="H2" s="129"/>
      <c r="I2" s="129"/>
      <c r="J2" s="129"/>
      <c r="K2" s="129"/>
      <c r="L2" s="129"/>
      <c r="N2" s="97">
        <f>seznam!H2</f>
        <v>41336</v>
      </c>
    </row>
    <row r="3" spans="1:12" ht="16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29" ht="16.5" customHeight="1" thickBot="1">
      <c r="A4" s="3"/>
      <c r="B4" s="3"/>
      <c r="C4" s="5"/>
      <c r="D4" s="5"/>
      <c r="E4" s="5"/>
      <c r="F4" s="3"/>
      <c r="G4" s="3"/>
      <c r="H4" s="3"/>
      <c r="I4" s="3"/>
      <c r="J4" s="3"/>
      <c r="K4" s="7"/>
      <c r="M4" s="99"/>
      <c r="O4" s="100" t="str">
        <f>B5</f>
        <v>Dvouhra - Skupina A</v>
      </c>
      <c r="P4" s="100" t="s">
        <v>3</v>
      </c>
      <c r="Q4" s="100" t="s">
        <v>46</v>
      </c>
      <c r="R4" s="100" t="s">
        <v>4</v>
      </c>
      <c r="S4" s="100" t="s">
        <v>3</v>
      </c>
      <c r="T4" s="100" t="s">
        <v>47</v>
      </c>
      <c r="U4" s="100" t="s">
        <v>4</v>
      </c>
      <c r="V4" s="101" t="s">
        <v>5</v>
      </c>
      <c r="W4" s="101" t="s">
        <v>6</v>
      </c>
      <c r="X4" s="101" t="s">
        <v>7</v>
      </c>
      <c r="Y4" s="101" t="s">
        <v>8</v>
      </c>
      <c r="Z4" s="101" t="s">
        <v>9</v>
      </c>
      <c r="AA4" s="100" t="s">
        <v>10</v>
      </c>
      <c r="AB4" s="100" t="s">
        <v>11</v>
      </c>
      <c r="AC4" s="100" t="s">
        <v>12</v>
      </c>
    </row>
    <row r="5" spans="1:39" ht="16.5" customHeight="1" thickBot="1" thickTop="1">
      <c r="A5" s="183"/>
      <c r="B5" s="201" t="s">
        <v>57</v>
      </c>
      <c r="C5" s="104">
        <v>1</v>
      </c>
      <c r="D5" s="108">
        <v>2</v>
      </c>
      <c r="E5" s="108">
        <v>3</v>
      </c>
      <c r="F5" s="105">
        <v>4</v>
      </c>
      <c r="G5" s="105">
        <v>5</v>
      </c>
      <c r="H5" s="106">
        <v>6</v>
      </c>
      <c r="I5" s="106">
        <v>7</v>
      </c>
      <c r="J5" s="107">
        <v>8</v>
      </c>
      <c r="K5" s="108" t="s">
        <v>15</v>
      </c>
      <c r="L5" s="107" t="s">
        <v>16</v>
      </c>
      <c r="M5" s="199" t="s">
        <v>48</v>
      </c>
      <c r="N5" s="4" t="str">
        <f>CONCATENATE(Q5," - ",T5)</f>
        <v>bye - bye</v>
      </c>
      <c r="O5" s="4" t="str">
        <f>CONCATENATE(B5)</f>
        <v>Dvouhra - Skupina A</v>
      </c>
      <c r="P5" s="4">
        <f>A6</f>
        <v>0</v>
      </c>
      <c r="Q5" s="4" t="str">
        <f>IF($P5=0,"bye",VLOOKUP($P5,seznam!$A$2:$C$40,2,FALSE))</f>
        <v>bye</v>
      </c>
      <c r="R5" s="4">
        <f>IF($P5=0,"",VLOOKUP($P5,seznam!$A$2:$D$40,4,FALSE))</f>
      </c>
      <c r="S5" s="4">
        <f>A13</f>
        <v>0</v>
      </c>
      <c r="T5" s="4" t="str">
        <f>IF($S5=0,"bye",VLOOKUP($S5,seznam!$A$2:$C$40,2,FALSE))</f>
        <v>bye</v>
      </c>
      <c r="U5" s="4">
        <f>IF($S5=0,"",VLOOKUP($S5,seznam!$A$2:$D$40,4,FALSE))</f>
      </c>
      <c r="V5" s="193"/>
      <c r="W5" s="194"/>
      <c r="X5" s="194"/>
      <c r="Y5" s="194"/>
      <c r="Z5" s="195"/>
      <c r="AA5" s="4">
        <f>COUNTIF(AI5:AM5,"&gt;0")</f>
        <v>0</v>
      </c>
      <c r="AB5" s="4">
        <f>COUNTIF(AI5:AM5,"&lt;0")</f>
        <v>0</v>
      </c>
      <c r="AC5" s="4">
        <f>IF(AA5=AB5,0,IF(AA5&gt;AB5,P5,S5))</f>
        <v>0</v>
      </c>
      <c r="AD5" s="4">
        <f>IF($AC5=0,"",VLOOKUP($AC5,seznam!$A$2:$C$40,2,FALSE))</f>
      </c>
      <c r="AE5" s="4">
        <f>IF(AA5=AB5,"",IF(AA5&gt;AB5,CONCATENATE(AA5,":",AB5," (",V5,",",W5,",",X5,IF(SUM(AA5:AB5)&gt;3,",",""),Y5,IF(SUM(AA5:AB5)&gt;4,",",""),Z5,")"),CONCATENATE(AB5,":",AA5," (",-V5,",",-W5,",",-X5,IF(SUM(AA5:AB5)&gt;3,CONCATENATE(",",-Y5),""),IF(SUM(AA5:AB5)&gt;4,CONCATENATE(",",-Z5),""),")")))</f>
      </c>
      <c r="AF5" s="4">
        <f>IF(V5="",0,IF(AA5&gt;AB5,2,1))</f>
        <v>0</v>
      </c>
      <c r="AG5" s="4">
        <f>IF(V5="",0,IF(AB5&gt;AA5,2,1))</f>
        <v>0</v>
      </c>
      <c r="AI5" s="4">
        <f aca="true" t="shared" si="0" ref="AI5:AM9">IF(V5="",0,IF(MID(V5,1,1)="-",-1,1))</f>
        <v>0</v>
      </c>
      <c r="AJ5" s="4">
        <f t="shared" si="0"/>
        <v>0</v>
      </c>
      <c r="AK5" s="4">
        <f t="shared" si="0"/>
        <v>0</v>
      </c>
      <c r="AL5" s="4">
        <f t="shared" si="0"/>
        <v>0</v>
      </c>
      <c r="AM5" s="4">
        <f t="shared" si="0"/>
        <v>0</v>
      </c>
    </row>
    <row r="6" spans="1:39" ht="16.5" customHeight="1" thickTop="1">
      <c r="A6" s="251"/>
      <c r="B6" s="202">
        <f>IF($A6="","",CONCATENATE(VLOOKUP($A6,seznam!$A$2:$B$40,2,FALSE)," (",VLOOKUP($A6,seznam!$A$2:$H$40,5,FALSE),")"))</f>
      </c>
      <c r="C6" s="113" t="s">
        <v>17</v>
      </c>
      <c r="D6" s="30">
        <f>IF(AA12+AB12=0,"",CONCATENATE(AA12,":",AB12))</f>
      </c>
      <c r="E6" s="30">
        <f>IF(AB14+AA14=0,"",CONCATENATE(AB14,":",AA14))</f>
      </c>
      <c r="F6" s="30">
        <f>IF(AA19+AB19=0,"",CONCATENATE(AA19,":",AB19))</f>
      </c>
      <c r="G6" s="30">
        <f>IF(AB23+AA23=0,"",CONCATENATE(AB23,":",AA23))</f>
      </c>
      <c r="H6" s="172">
        <f>IF(AA26+AB26=0,"",CONCATENATE(AA26,":",AB26))</f>
      </c>
      <c r="I6" s="172">
        <f>IF(AB32+AA32=0,"",CONCATENATE(AB32,":",AA32))</f>
      </c>
      <c r="J6" s="179">
        <f>IF(AA5+AB5=0,"",CONCATENATE(AA5,":",AB5))</f>
      </c>
      <c r="K6" s="133">
        <f>IF(AF5+AF12+AG14+AF19+AG23+AF26+AG32=0,"",AF5+AF12+AG14+AF19+AG23+AF26+AG32)</f>
      </c>
      <c r="L6" s="219"/>
      <c r="M6" s="199"/>
      <c r="N6" s="4" t="str">
        <f>CONCATENATE(Q6," - ",T6)</f>
        <v>bye - bye</v>
      </c>
      <c r="O6" s="4" t="str">
        <f>CONCATENATE(B5)</f>
        <v>Dvouhra - Skupina A</v>
      </c>
      <c r="P6" s="4">
        <f>A7</f>
        <v>0</v>
      </c>
      <c r="Q6" s="4" t="str">
        <f>IF($P6=0,"bye",VLOOKUP($P6,seznam!$A$2:$C$40,2,FALSE))</f>
        <v>bye</v>
      </c>
      <c r="R6" s="4">
        <f>IF($P6=0,"",VLOOKUP($P6,seznam!$A$2:$D$40,4,FALSE))</f>
      </c>
      <c r="S6" s="4">
        <f>A12</f>
        <v>0</v>
      </c>
      <c r="T6" s="4" t="str">
        <f>IF($S6=0,"bye",VLOOKUP($S6,seznam!$A$2:$C$40,2,FALSE))</f>
        <v>bye</v>
      </c>
      <c r="U6" s="4">
        <f>IF($S6=0,"",VLOOKUP($S6,seznam!$A$2:$D$40,4,FALSE))</f>
      </c>
      <c r="V6" s="196"/>
      <c r="W6" s="143"/>
      <c r="X6" s="143"/>
      <c r="Y6" s="143"/>
      <c r="Z6" s="197"/>
      <c r="AA6" s="4">
        <f>COUNTIF(AI6:AM6,"&gt;0")</f>
        <v>0</v>
      </c>
      <c r="AB6" s="4">
        <f>COUNTIF(AI6:AM6,"&lt;0")</f>
        <v>0</v>
      </c>
      <c r="AC6" s="4">
        <f>IF(AA6=AB6,0,IF(AA6&gt;AB6,P6,S6))</f>
        <v>0</v>
      </c>
      <c r="AD6" s="4">
        <f>IF($AC6=0,"",VLOOKUP($AC6,seznam!$A$2:$C$40,2,FALSE))</f>
      </c>
      <c r="AE6" s="4">
        <f>IF(AA6=AB6,"",IF(AA6&gt;AB6,CONCATENATE(AA6,":",AB6," (",V6,",",W6,",",X6,IF(SUM(AA6:AB6)&gt;3,",",""),Y6,IF(SUM(AA6:AB6)&gt;4,",",""),Z6,")"),CONCATENATE(AB6,":",AA6," (",-V6,",",-W6,",",-X6,IF(SUM(AA6:AB6)&gt;3,CONCATENATE(",",-Y6),""),IF(SUM(AA6:AB6)&gt;4,CONCATENATE(",",-Z6),""),")")))</f>
      </c>
      <c r="AF6" s="4">
        <f>IF(V6="",0,IF(AA6&gt;AB6,2,1))</f>
        <v>0</v>
      </c>
      <c r="AG6" s="4">
        <f>IF(V6="",0,IF(AB6&gt;AA6,2,1))</f>
        <v>0</v>
      </c>
      <c r="AI6" s="4">
        <f t="shared" si="0"/>
        <v>0</v>
      </c>
      <c r="AJ6" s="4">
        <f t="shared" si="0"/>
        <v>0</v>
      </c>
      <c r="AK6" s="4">
        <f t="shared" si="0"/>
        <v>0</v>
      </c>
      <c r="AL6" s="4">
        <f t="shared" si="0"/>
        <v>0</v>
      </c>
      <c r="AM6" s="4">
        <f t="shared" si="0"/>
        <v>0</v>
      </c>
    </row>
    <row r="7" spans="1:39" ht="16.5" customHeight="1">
      <c r="A7" s="244"/>
      <c r="B7" s="202">
        <f>IF($A7="","",CONCATENATE(VLOOKUP($A7,seznam!$A$2:$B$40,2,FALSE)," (",VLOOKUP($A7,seznam!$A$2:$H$40,5,FALSE),")"))</f>
      </c>
      <c r="C7" s="176">
        <f>IF(AB12+AA12=0,"",CONCATENATE(AB12,":",AA12))</f>
      </c>
      <c r="D7" s="118" t="s">
        <v>17</v>
      </c>
      <c r="E7" s="172">
        <f>IF(AA20+AB20=0,"",CONCATENATE(AA20,":",AB20))</f>
      </c>
      <c r="F7" s="172">
        <f>IF(AB22+AA22=0,"",CONCATENATE(AB22,":",AA22))</f>
      </c>
      <c r="G7" s="172">
        <f>IF(AA27+AB27=0,"",CONCATENATE(AA27,":",AB27))</f>
      </c>
      <c r="H7" s="172">
        <f>IF(AB31+AA31=0,"",CONCATENATE(AB31,":",AA31))</f>
      </c>
      <c r="I7" s="172">
        <f>IF(AA6+AB6=0,"",CONCATENATE(AA6,":",AB6))</f>
      </c>
      <c r="J7" s="173">
        <f>IF(AA13+AB13=0,"",CONCATENATE(AA13,":",AB13))</f>
      </c>
      <c r="K7" s="134">
        <f>IF(AF6+AG12+AF13+AF20+AG22+AF27+AG31=0,"",AF6+AG12+AF13+AF20+AG22+AF27+AG31)</f>
      </c>
      <c r="L7" s="220"/>
      <c r="M7" s="199"/>
      <c r="N7" s="4" t="str">
        <f>CONCATENATE(Q7," - ",T7)</f>
        <v>bye - bye</v>
      </c>
      <c r="O7" s="4" t="str">
        <f>CONCATENATE(B5)</f>
        <v>Dvouhra - Skupina A</v>
      </c>
      <c r="P7" s="4">
        <f>A8</f>
        <v>0</v>
      </c>
      <c r="Q7" s="4" t="str">
        <f>IF($P7=0,"bye",VLOOKUP($P7,seznam!$A$2:$C$40,2,FALSE))</f>
        <v>bye</v>
      </c>
      <c r="R7" s="4">
        <f>IF($P7=0,"",VLOOKUP($P7,seznam!$A$2:$D$40,4,FALSE))</f>
      </c>
      <c r="S7" s="4">
        <f>A11</f>
        <v>0</v>
      </c>
      <c r="T7" s="4" t="str">
        <f>IF($S7=0,"bye",VLOOKUP($S7,seznam!$A$2:$C$40,2,FALSE))</f>
        <v>bye</v>
      </c>
      <c r="U7" s="4">
        <f>IF($S7=0,"",VLOOKUP($S7,seznam!$A$2:$D$40,4,FALSE))</f>
      </c>
      <c r="V7" s="196"/>
      <c r="W7" s="143"/>
      <c r="X7" s="143"/>
      <c r="Y7" s="143"/>
      <c r="Z7" s="198"/>
      <c r="AA7" s="4">
        <f>COUNTIF(AI7:AM7,"&gt;0")</f>
        <v>0</v>
      </c>
      <c r="AB7" s="4">
        <f>COUNTIF(AI7:AM7,"&lt;0")</f>
        <v>0</v>
      </c>
      <c r="AC7" s="4">
        <f>IF(AA7=AB7,0,IF(AA7&gt;AB7,P7,S7))</f>
        <v>0</v>
      </c>
      <c r="AD7" s="4">
        <f>IF($AC7=0,"",VLOOKUP($AC7,seznam!$A$2:$C$40,2,FALSE))</f>
      </c>
      <c r="AE7" s="4">
        <f>IF(AA7=AB7,"",IF(AA7&gt;AB7,CONCATENATE(AA7,":",AB7," (",V7,",",W7,",",X7,IF(SUM(AA7:AB7)&gt;3,",",""),Y7,IF(SUM(AA7:AB7)&gt;4,",",""),Z7,")"),CONCATENATE(AB7,":",AA7," (",-V7,",",-W7,",",-X7,IF(SUM(AA7:AB7)&gt;3,CONCATENATE(",",-Y7),""),IF(SUM(AA7:AB7)&gt;4,CONCATENATE(",",-Z7),""),")")))</f>
      </c>
      <c r="AF7" s="4">
        <f>IF(V7="",0,IF(AA7&gt;AB7,2,1))</f>
        <v>0</v>
      </c>
      <c r="AG7" s="4">
        <f>IF(V7="",0,IF(AB7&gt;AA7,2,1))</f>
        <v>0</v>
      </c>
      <c r="AI7" s="4">
        <f t="shared" si="0"/>
        <v>0</v>
      </c>
      <c r="AJ7" s="4">
        <f t="shared" si="0"/>
        <v>0</v>
      </c>
      <c r="AK7" s="4">
        <f t="shared" si="0"/>
        <v>0</v>
      </c>
      <c r="AL7" s="4">
        <f t="shared" si="0"/>
        <v>0</v>
      </c>
      <c r="AM7" s="4">
        <f t="shared" si="0"/>
        <v>0</v>
      </c>
    </row>
    <row r="8" spans="1:39" ht="16.5" customHeight="1">
      <c r="A8" s="244"/>
      <c r="B8" s="202">
        <f>IF($A8="","",CONCATENATE(VLOOKUP($A8,seznam!$A$2:$B$40,2,FALSE)," (",VLOOKUP($A8,seznam!$A$2:$H$40,5,FALSE),")"))</f>
      </c>
      <c r="C8" s="177">
        <f>IF(AA14+AB14=0,"",CONCATENATE(AA14,":",AB14))</f>
      </c>
      <c r="D8" s="172">
        <f>IF(AB20+AA20=0,"",CONCATENATE(AB20,":",AA20))</f>
      </c>
      <c r="E8" s="118" t="s">
        <v>17</v>
      </c>
      <c r="F8" s="172">
        <f>IF(AA28+AB28=0,"",CONCATENATE(AA28,":",AB28))</f>
      </c>
      <c r="G8" s="172">
        <f>IF(AB30+AA30=0,"",CONCATENATE(AB30,":",AA30))</f>
      </c>
      <c r="H8" s="172">
        <f>IF(AA7+AB7=0,"",CONCATENATE(AA7,":",AB7))</f>
      </c>
      <c r="I8" s="172">
        <f>IF(AB11+AA11=0,"",CONCATENATE(AB11,":",AA11))</f>
      </c>
      <c r="J8" s="174">
        <f>IF(AA21+AB21=0,"",CONCATENATE(AA21,":",AB21))</f>
      </c>
      <c r="K8" s="134">
        <f>IF(AF7+AG11+AF14+AG20+AF21+AF28+AG30=0,"",AF7+AG11+AF14+AG20+AF21+AF28+AG30)</f>
      </c>
      <c r="L8" s="220"/>
      <c r="M8" s="199"/>
      <c r="N8" s="4" t="str">
        <f aca="true" t="shared" si="1" ref="N8:N32">CONCATENATE(Q8," - ",T8)</f>
        <v>bye - bye</v>
      </c>
      <c r="O8" s="4" t="str">
        <f>CONCATENATE(B5)</f>
        <v>Dvouhra - Skupina A</v>
      </c>
      <c r="P8" s="4">
        <f>A9</f>
        <v>0</v>
      </c>
      <c r="Q8" s="4" t="str">
        <f>IF($P8=0,"bye",VLOOKUP($P8,seznam!$A$2:$C$40,2,FALSE))</f>
        <v>bye</v>
      </c>
      <c r="R8" s="4">
        <f>IF($P8=0,"",VLOOKUP($P8,seznam!$A$2:$D$40,4,FALSE))</f>
      </c>
      <c r="S8" s="4">
        <f>A10</f>
        <v>0</v>
      </c>
      <c r="T8" s="4" t="str">
        <f>IF($S8=0,"bye",VLOOKUP($S8,seznam!$A$2:$C$40,2,FALSE))</f>
        <v>bye</v>
      </c>
      <c r="U8" s="4">
        <f>IF($S8=0,"",VLOOKUP($S8,seznam!$A$2:$D$40,4,FALSE))</f>
      </c>
      <c r="V8" s="196"/>
      <c r="W8" s="143"/>
      <c r="X8" s="143"/>
      <c r="Y8" s="143"/>
      <c r="Z8" s="198"/>
      <c r="AA8" s="4">
        <f>COUNTIF(AI8:AM8,"&gt;0")</f>
        <v>0</v>
      </c>
      <c r="AB8" s="4">
        <f>COUNTIF(AI8:AM8,"&lt;0")</f>
        <v>0</v>
      </c>
      <c r="AC8" s="4">
        <f>IF(AA8=AB8,0,IF(AA8&gt;AB8,P8,S8))</f>
        <v>0</v>
      </c>
      <c r="AD8" s="4">
        <f>IF($AC8=0,"",VLOOKUP($AC8,seznam!$A$2:$C$40,2,FALSE))</f>
      </c>
      <c r="AE8" s="4">
        <f>IF(AA8=AB8,"",IF(AA8&gt;AB8,CONCATENATE(AA8,":",AB8," (",V8,",",W8,",",X8,IF(SUM(AA8:AB8)&gt;3,",",""),Y8,IF(SUM(AA8:AB8)&gt;4,",",""),Z8,")"),CONCATENATE(AB8,":",AA8," (",-V8,",",-W8,",",-X8,IF(SUM(AA8:AB8)&gt;3,CONCATENATE(",",-Y8),""),IF(SUM(AA8:AB8)&gt;4,CONCATENATE(",",-Z8),""),")")))</f>
      </c>
      <c r="AF8" s="4">
        <f>IF(V8="",0,IF(AA8&gt;AB8,2,1))</f>
        <v>0</v>
      </c>
      <c r="AG8" s="4">
        <f>IF(V8="",0,IF(AB8&gt;AA8,2,1))</f>
        <v>0</v>
      </c>
      <c r="AI8" s="4">
        <f t="shared" si="0"/>
        <v>0</v>
      </c>
      <c r="AJ8" s="4">
        <f t="shared" si="0"/>
        <v>0</v>
      </c>
      <c r="AK8" s="4">
        <f t="shared" si="0"/>
        <v>0</v>
      </c>
      <c r="AL8" s="4">
        <f t="shared" si="0"/>
        <v>0</v>
      </c>
      <c r="AM8" s="4">
        <f t="shared" si="0"/>
        <v>0</v>
      </c>
    </row>
    <row r="9" spans="1:39" ht="16.5" customHeight="1">
      <c r="A9" s="244"/>
      <c r="B9" s="202">
        <f>IF($A9="","",CONCATENATE(VLOOKUP($A9,seznam!$A$2:$B$40,2,FALSE)," (",VLOOKUP($A9,seznam!$A$2:$H$40,5,FALSE),")"))</f>
      </c>
      <c r="C9" s="177">
        <f>IF(AB19+AA19=0,"",CONCATENATE(AB19,":",AA19))</f>
      </c>
      <c r="D9" s="172">
        <f>IF(AA22+AB22=0,"",CONCATENATE(AA22,":",AB22))</f>
      </c>
      <c r="E9" s="172">
        <f>IF(AB28+AA28=0,"",CONCATENATE(AB28,":",AA28))</f>
      </c>
      <c r="F9" s="118" t="s">
        <v>17</v>
      </c>
      <c r="G9" s="172">
        <f>IF(AA8+AB8=0,"",CONCATENATE(AA8,":",AB8))</f>
      </c>
      <c r="H9" s="172">
        <f>IF(AB10+AA10=0,"",CONCATENATE(AB10,":",AA10))</f>
      </c>
      <c r="I9" s="172">
        <f>IF(AA15+AB15=0,"",CONCATENATE(AA15,":",AB15))</f>
      </c>
      <c r="J9" s="173">
        <f>IF(AA29+AB29=0,"",CONCATENATE(AA29,":",AB29))</f>
      </c>
      <c r="K9" s="134">
        <f>IF(AF8+AG10+AF15+AG19+AF22+AG28+AF29=0,"",AF8+AG10+AF15+AG19+AF22+AG28+AF29)</f>
      </c>
      <c r="L9" s="220"/>
      <c r="M9" s="199" t="s">
        <v>51</v>
      </c>
      <c r="N9" s="4" t="str">
        <f t="shared" si="1"/>
        <v>bye - bye</v>
      </c>
      <c r="O9" s="4" t="str">
        <f>CONCATENATE(B5)</f>
        <v>Dvouhra - Skupina A</v>
      </c>
      <c r="P9" s="4">
        <f>A13</f>
        <v>0</v>
      </c>
      <c r="Q9" s="4" t="str">
        <f>IF($P9=0,"bye",VLOOKUP($P9,seznam!$A$2:$C$40,2,FALSE))</f>
        <v>bye</v>
      </c>
      <c r="R9" s="4">
        <f>IF($P9=0,"",VLOOKUP($P9,seznam!$A$2:$D$40,4,FALSE))</f>
      </c>
      <c r="S9" s="4">
        <f>A10</f>
        <v>0</v>
      </c>
      <c r="T9" s="4" t="str">
        <f>IF($S9=0,"bye",VLOOKUP($S9,seznam!$A$2:$C$40,2,FALSE))</f>
        <v>bye</v>
      </c>
      <c r="U9" s="4">
        <f>IF($S9=0,"",VLOOKUP($S9,seznam!$A$2:$D$40,4,FALSE))</f>
      </c>
      <c r="V9" s="196"/>
      <c r="W9" s="143"/>
      <c r="X9" s="143"/>
      <c r="Y9" s="143"/>
      <c r="Z9" s="198"/>
      <c r="AA9" s="4">
        <f>COUNTIF(AI9:AM9,"&gt;0")</f>
        <v>0</v>
      </c>
      <c r="AB9" s="4">
        <f>COUNTIF(AI9:AM9,"&lt;0")</f>
        <v>0</v>
      </c>
      <c r="AC9" s="4">
        <f>IF(AA9=AB9,0,IF(AA9&gt;AB9,P9,S9))</f>
        <v>0</v>
      </c>
      <c r="AD9" s="4">
        <f>IF($AC9=0,"",VLOOKUP($AC9,seznam!$A$2:$C$40,2,FALSE))</f>
      </c>
      <c r="AE9" s="4">
        <f>IF(AA9=AB9,"",IF(AA9&gt;AB9,CONCATENATE(AA9,":",AB9," (",V9,",",W9,",",X9,IF(SUM(AA9:AB9)&gt;3,",",""),Y9,IF(SUM(AA9:AB9)&gt;4,",",""),Z9,")"),CONCATENATE(AB9,":",AA9," (",-V9,",",-W9,",",-X9,IF(SUM(AA9:AB9)&gt;3,CONCATENATE(",",-Y9),""),IF(SUM(AA9:AB9)&gt;4,CONCATENATE(",",-Z9),""),")")))</f>
      </c>
      <c r="AF9" s="4">
        <f>IF(V9="",0,IF(AA9&gt;AB9,2,1))</f>
        <v>0</v>
      </c>
      <c r="AG9" s="4">
        <f>IF(V9="",0,IF(AB9&gt;AA9,2,1))</f>
        <v>0</v>
      </c>
      <c r="AI9" s="4">
        <f t="shared" si="0"/>
        <v>0</v>
      </c>
      <c r="AJ9" s="4">
        <f t="shared" si="0"/>
        <v>0</v>
      </c>
      <c r="AK9" s="4">
        <f t="shared" si="0"/>
        <v>0</v>
      </c>
      <c r="AL9" s="4">
        <f t="shared" si="0"/>
        <v>0</v>
      </c>
      <c r="AM9" s="4">
        <f t="shared" si="0"/>
        <v>0</v>
      </c>
    </row>
    <row r="10" spans="1:39" ht="16.5" customHeight="1">
      <c r="A10" s="244"/>
      <c r="B10" s="202">
        <f>IF($A10="","",CONCATENATE(VLOOKUP($A10,seznam!$A$2:$B$40,2,FALSE)," (",VLOOKUP($A10,seznam!$A$2:$H$40,5,FALSE),")"))</f>
      </c>
      <c r="C10" s="177">
        <f>IF(AA23+AB23=0,"",CONCATENATE(AA23,":",AB23))</f>
      </c>
      <c r="D10" s="172">
        <f>IF(AB27+AA27=0,"",CONCATENATE(AB27,":",AA27))</f>
      </c>
      <c r="E10" s="172">
        <f>IF(AA30+AB30=0,"",CONCATENATE(AA30,":",AB30))</f>
      </c>
      <c r="F10" s="172">
        <f>IF(AB8+AA8=0,"",CONCATENATE(AB8,":",AA8))</f>
      </c>
      <c r="G10" s="118" t="s">
        <v>17</v>
      </c>
      <c r="H10" s="172">
        <f>IF(AA16+AB16=0,"",CONCATENATE(AA16,":",AB16))</f>
      </c>
      <c r="I10" s="172">
        <f>IF(AB18+AA18=0,"",CONCATENATE(AB18,":",AA18))</f>
      </c>
      <c r="J10" s="173">
        <f>IF(AB9+AA9=0,"",CONCATENATE(AB9,":",AA9))</f>
      </c>
      <c r="K10" s="134">
        <f>IF(AG8+AG9+AF16+AG18+AF23+AG27+AF30=0,"",AG8+AG9+AF16+AG18+AF23+AG27+AF30)</f>
      </c>
      <c r="L10" s="220"/>
      <c r="M10" s="199"/>
      <c r="N10" s="4" t="str">
        <f t="shared" si="1"/>
        <v>bye - bye</v>
      </c>
      <c r="O10" s="4" t="str">
        <f>CONCATENATE(B5)</f>
        <v>Dvouhra - Skupina A</v>
      </c>
      <c r="P10" s="4">
        <f>A11</f>
        <v>0</v>
      </c>
      <c r="Q10" s="4" t="str">
        <f>IF($P10=0,"bye",VLOOKUP($P10,seznam!$A$2:$C$40,2,FALSE))</f>
        <v>bye</v>
      </c>
      <c r="R10" s="4">
        <f>IF($P10=0,"",VLOOKUP($P10,seznam!$A$2:$D$40,4,FALSE))</f>
      </c>
      <c r="S10" s="4">
        <f>A9</f>
        <v>0</v>
      </c>
      <c r="T10" s="4" t="str">
        <f>IF($S10=0,"bye",VLOOKUP($S10,seznam!$A$2:$C$40,2,FALSE))</f>
        <v>bye</v>
      </c>
      <c r="U10" s="4">
        <f>IF($S10=0,"",VLOOKUP($S10,seznam!$A$2:$D$40,4,FALSE))</f>
      </c>
      <c r="V10" s="135"/>
      <c r="W10" s="136"/>
      <c r="X10" s="136"/>
      <c r="Y10" s="136"/>
      <c r="Z10" s="137"/>
      <c r="AA10" s="4">
        <f aca="true" t="shared" si="2" ref="AA10:AA19">COUNTIF(AI10:AM10,"&gt;0")</f>
        <v>0</v>
      </c>
      <c r="AB10" s="4">
        <f aca="true" t="shared" si="3" ref="AB10:AB19">COUNTIF(AI10:AM10,"&lt;0")</f>
        <v>0</v>
      </c>
      <c r="AC10" s="4">
        <f aca="true" t="shared" si="4" ref="AC10:AC19">IF(AA10=AB10,0,IF(AA10&gt;AB10,P10,S10))</f>
        <v>0</v>
      </c>
      <c r="AD10" s="4">
        <f>IF($AC10=0,"",VLOOKUP($AC10,seznam!$A$2:$C$40,2,FALSE))</f>
      </c>
      <c r="AE10" s="4">
        <f aca="true" t="shared" si="5" ref="AE10:AE19">IF(AA10=AB10,"",IF(AA10&gt;AB10,CONCATENATE(AA10,":",AB10," (",V10,",",W10,",",X10,IF(SUM(AA10:AB10)&gt;3,",",""),Y10,IF(SUM(AA10:AB10)&gt;4,",",""),Z10,")"),CONCATENATE(AB10,":",AA10," (",-V10,",",-W10,",",-X10,IF(SUM(AA10:AB10)&gt;3,CONCATENATE(",",-Y10),""),IF(SUM(AA10:AB10)&gt;4,CONCATENATE(",",-Z10),""),")")))</f>
      </c>
      <c r="AF10" s="4">
        <f aca="true" t="shared" si="6" ref="AF10:AF19">IF(V10="",0,IF(AA10&gt;AB10,2,1))</f>
        <v>0</v>
      </c>
      <c r="AG10" s="4">
        <f aca="true" t="shared" si="7" ref="AG10:AG19">IF(V10="",0,IF(AB10&gt;AA10,2,1))</f>
        <v>0</v>
      </c>
      <c r="AI10" s="4">
        <f aca="true" t="shared" si="8" ref="AI10:AI19">IF(V10="",0,IF(MID(V10,1,1)="-",-1,1))</f>
        <v>0</v>
      </c>
      <c r="AJ10" s="4">
        <f aca="true" t="shared" si="9" ref="AJ10:AJ19">IF(W10="",0,IF(MID(W10,1,1)="-",-1,1))</f>
        <v>0</v>
      </c>
      <c r="AK10" s="4">
        <f aca="true" t="shared" si="10" ref="AK10:AK19">IF(X10="",0,IF(MID(X10,1,1)="-",-1,1))</f>
        <v>0</v>
      </c>
      <c r="AL10" s="4">
        <f aca="true" t="shared" si="11" ref="AL10:AL19">IF(Y10="",0,IF(MID(Y10,1,1)="-",-1,1))</f>
        <v>0</v>
      </c>
      <c r="AM10" s="4">
        <f aca="true" t="shared" si="12" ref="AM10:AM19">IF(Z10="",0,IF(MID(Z10,1,1)="-",-1,1))</f>
        <v>0</v>
      </c>
    </row>
    <row r="11" spans="1:39" ht="16.5" customHeight="1">
      <c r="A11" s="245"/>
      <c r="B11" s="202">
        <f>IF($A11="","",CONCATENATE(VLOOKUP($A11,seznam!$A$2:$B$40,2,FALSE)," (",VLOOKUP($A11,seznam!$A$2:$H$40,5,FALSE),")"))</f>
      </c>
      <c r="C11" s="177">
        <f>IF(AB26+AA26=0,"",CONCATENATE(AB26,":",AA26))</f>
      </c>
      <c r="D11" s="172">
        <f>IF(AA31+AB31=0,"",CONCATENATE(AA31,":",AB31))</f>
      </c>
      <c r="E11" s="172">
        <f>IF(AB7+AA7=0,"",CONCATENATE(AB7,":",AA7))</f>
      </c>
      <c r="F11" s="172">
        <f>IF(AA10+AB10=0,"",CONCATENATE(AA10,":",AB10))</f>
      </c>
      <c r="G11" s="172">
        <f>IF(AB16+AA16=0,"",CONCATENATE(AB16,":",AA16))</f>
      </c>
      <c r="H11" s="118" t="s">
        <v>17</v>
      </c>
      <c r="I11" s="172">
        <f>IF(AA24+AB24=0,"",CONCATENATE(AA24,":",AB24))</f>
      </c>
      <c r="J11" s="173">
        <f>IF(AB17+AA17=0,"",CONCATENATE(AB17,":",AA17))</f>
      </c>
      <c r="K11" s="134">
        <f>IF(AG7+AF10+AG16+AG17+AF24+AG26+AF31=0,"",AG7+AF10+AG16+AG17+AF24+AG26+AF31)</f>
      </c>
      <c r="L11" s="221"/>
      <c r="M11" s="199"/>
      <c r="N11" s="4" t="str">
        <f t="shared" si="1"/>
        <v>bye - bye</v>
      </c>
      <c r="O11" s="4" t="str">
        <f>CONCATENATE(B5)</f>
        <v>Dvouhra - Skupina A</v>
      </c>
      <c r="P11" s="4">
        <f>A12</f>
        <v>0</v>
      </c>
      <c r="Q11" s="4" t="str">
        <f>IF($P11=0,"bye",VLOOKUP($P11,seznam!$A$2:$C$40,2,FALSE))</f>
        <v>bye</v>
      </c>
      <c r="R11" s="4">
        <f>IF($P11=0,"",VLOOKUP($P11,seznam!$A$2:$D$40,4,FALSE))</f>
      </c>
      <c r="S11" s="4">
        <f>A8</f>
        <v>0</v>
      </c>
      <c r="T11" s="4" t="str">
        <f>IF($S11=0,"bye",VLOOKUP($S11,seznam!$A$2:$C$40,2,FALSE))</f>
        <v>bye</v>
      </c>
      <c r="U11" s="4">
        <f>IF($S11=0,"",VLOOKUP($S11,seznam!$A$2:$D$40,4,FALSE))</f>
      </c>
      <c r="V11" s="135"/>
      <c r="W11" s="136"/>
      <c r="X11" s="136"/>
      <c r="Y11" s="136"/>
      <c r="Z11" s="137"/>
      <c r="AA11" s="4">
        <f t="shared" si="2"/>
        <v>0</v>
      </c>
      <c r="AB11" s="4">
        <f t="shared" si="3"/>
        <v>0</v>
      </c>
      <c r="AC11" s="4">
        <f t="shared" si="4"/>
        <v>0</v>
      </c>
      <c r="AD11" s="4">
        <f>IF($AC11=0,"",VLOOKUP($AC11,seznam!$A$2:$C$40,2,FALSE))</f>
      </c>
      <c r="AE11" s="4">
        <f t="shared" si="5"/>
      </c>
      <c r="AF11" s="4">
        <f t="shared" si="6"/>
        <v>0</v>
      </c>
      <c r="AG11" s="4">
        <f t="shared" si="7"/>
        <v>0</v>
      </c>
      <c r="AI11" s="4">
        <f t="shared" si="8"/>
        <v>0</v>
      </c>
      <c r="AJ11" s="4">
        <f t="shared" si="9"/>
        <v>0</v>
      </c>
      <c r="AK11" s="4">
        <f t="shared" si="10"/>
        <v>0</v>
      </c>
      <c r="AL11" s="4">
        <f t="shared" si="11"/>
        <v>0</v>
      </c>
      <c r="AM11" s="4">
        <f t="shared" si="12"/>
        <v>0</v>
      </c>
    </row>
    <row r="12" spans="1:39" ht="16.5" customHeight="1">
      <c r="A12" s="245"/>
      <c r="B12" s="202">
        <f>IF($A12="","",CONCATENATE(VLOOKUP($A12,seznam!$A$2:$B$40,2,FALSE)," (",VLOOKUP($A12,seznam!$A$2:$H$40,5,FALSE),")"))</f>
      </c>
      <c r="C12" s="177">
        <f>IF(AA32+AB32=0,"",CONCATENATE(AA32,":",AB32))</f>
      </c>
      <c r="D12" s="172">
        <f>IF(AB6+AA6=0,"",CONCATENATE(AB6,":",AA6))</f>
      </c>
      <c r="E12" s="172">
        <f>IF(AA11+AB11=0,"",CONCATENATE(AA11,":",AB11))</f>
      </c>
      <c r="F12" s="172">
        <f>IF(AB15+AA15=0,"",CONCATENATE(AB15,":",AA15))</f>
      </c>
      <c r="G12" s="172">
        <f>IF(AA18+AB18=0,"",CONCATENATE(AA18,":",AB18))</f>
      </c>
      <c r="H12" s="172">
        <f>IF(AB24+AA24=0,"",CONCATENATE(AB24,":",AA24))</f>
      </c>
      <c r="I12" s="118" t="s">
        <v>17</v>
      </c>
      <c r="J12" s="173">
        <f>IF(AB25+AA25=0,"",CONCATENATE(AB25,":",AA25))</f>
      </c>
      <c r="K12" s="134">
        <f>IF(AG6+AF11+AG15+AF18+AG24+AG25+AF32=0,"",AG6+AF11+AG15+AF18+AG24+AG25+AF32)</f>
      </c>
      <c r="L12" s="221"/>
      <c r="M12" s="199"/>
      <c r="N12" s="4" t="str">
        <f t="shared" si="1"/>
        <v>bye - bye</v>
      </c>
      <c r="O12" s="4" t="str">
        <f>CONCATENATE(B5)</f>
        <v>Dvouhra - Skupina A</v>
      </c>
      <c r="P12" s="4">
        <f>A6</f>
        <v>0</v>
      </c>
      <c r="Q12" s="4" t="str">
        <f>IF($P12=0,"bye",VLOOKUP($P12,seznam!$A$2:$C$40,2,FALSE))</f>
        <v>bye</v>
      </c>
      <c r="R12" s="4">
        <f>IF($P12=0,"",VLOOKUP($P12,seznam!$A$2:$D$40,4,FALSE))</f>
      </c>
      <c r="S12" s="4">
        <f>A7</f>
        <v>0</v>
      </c>
      <c r="T12" s="4" t="str">
        <f>IF($S12=0,"bye",VLOOKUP($S12,seznam!$A$2:$C$40,2,FALSE))</f>
        <v>bye</v>
      </c>
      <c r="U12" s="4">
        <f>IF($S12=0,"",VLOOKUP($S12,seznam!$A$2:$D$40,4,FALSE))</f>
      </c>
      <c r="V12" s="135"/>
      <c r="W12" s="136"/>
      <c r="X12" s="136"/>
      <c r="Y12" s="136"/>
      <c r="Z12" s="137"/>
      <c r="AA12" s="4">
        <f t="shared" si="2"/>
        <v>0</v>
      </c>
      <c r="AB12" s="4">
        <f t="shared" si="3"/>
        <v>0</v>
      </c>
      <c r="AC12" s="4">
        <f t="shared" si="4"/>
        <v>0</v>
      </c>
      <c r="AD12" s="4">
        <f>IF($AC12=0,"",VLOOKUP($AC12,seznam!$A$2:$C$40,2,FALSE))</f>
      </c>
      <c r="AE12" s="4">
        <f t="shared" si="5"/>
      </c>
      <c r="AF12" s="4">
        <f t="shared" si="6"/>
        <v>0</v>
      </c>
      <c r="AG12" s="4">
        <f t="shared" si="7"/>
        <v>0</v>
      </c>
      <c r="AI12" s="4">
        <f t="shared" si="8"/>
        <v>0</v>
      </c>
      <c r="AJ12" s="4">
        <f t="shared" si="9"/>
        <v>0</v>
      </c>
      <c r="AK12" s="4">
        <f t="shared" si="10"/>
        <v>0</v>
      </c>
      <c r="AL12" s="4">
        <f t="shared" si="11"/>
        <v>0</v>
      </c>
      <c r="AM12" s="4">
        <f t="shared" si="12"/>
        <v>0</v>
      </c>
    </row>
    <row r="13" spans="1:39" ht="16.5" customHeight="1" thickBot="1">
      <c r="A13" s="246"/>
      <c r="B13" s="182">
        <f>IF($A13="","",CONCATENATE(VLOOKUP($A13,seznam!$A$2:$B$40,2,FALSE)," (",VLOOKUP($A13,seznam!$A$2:$H$40,5,FALSE),")"))</f>
      </c>
      <c r="C13" s="178">
        <f>IF(AB5+AA5=0,"",CONCATENATE(AB5,":",AA5))</f>
      </c>
      <c r="D13" s="175">
        <f>IF(AB13+AA13=0,"",CONCATENATE(AB13,":",AA13))</f>
      </c>
      <c r="E13" s="175">
        <f>IF(AB21+AA21=0,"",CONCATENATE(AB21,":",AA21))</f>
      </c>
      <c r="F13" s="175">
        <f>IF(AB29+AA29=0,"",CONCATENATE(AA29,":",AB29))</f>
      </c>
      <c r="G13" s="175">
        <f>IF(AA9+AB9=0,"",CONCATENATE(AA9,":",AB9))</f>
      </c>
      <c r="H13" s="175">
        <f>IF(AA17+AB17=0,"",CONCATENATE(AA17,":",AB17))</f>
      </c>
      <c r="I13" s="175">
        <f>IF(AA25+AB25=0,"",CONCATENATE(AA25,":",AB25))</f>
      </c>
      <c r="J13" s="122" t="s">
        <v>17</v>
      </c>
      <c r="K13" s="123">
        <f>IF(AG5+AF9+AG13+AF17+AG21+AF25+AG29=0,"",AG5+AF9+AG13+AF17+AG21+AF25+AG29)</f>
      </c>
      <c r="L13" s="222"/>
      <c r="M13" s="199" t="s">
        <v>49</v>
      </c>
      <c r="N13" s="4" t="str">
        <f t="shared" si="1"/>
        <v>bye - bye</v>
      </c>
      <c r="O13" s="4" t="str">
        <f>CONCATENATE(B5)</f>
        <v>Dvouhra - Skupina A</v>
      </c>
      <c r="P13" s="4">
        <f>A7</f>
        <v>0</v>
      </c>
      <c r="Q13" s="4" t="str">
        <f>IF($P13=0,"bye",VLOOKUP($P13,seznam!$A$2:$C$40,2,FALSE))</f>
        <v>bye</v>
      </c>
      <c r="R13" s="4">
        <f>IF($P13=0,"",VLOOKUP($P13,seznam!$A$2:$D$40,4,FALSE))</f>
      </c>
      <c r="S13" s="4">
        <f>A13</f>
        <v>0</v>
      </c>
      <c r="T13" s="4" t="str">
        <f>IF($S13=0,"bye",VLOOKUP($S13,seznam!$A$2:$C$40,2,FALSE))</f>
        <v>bye</v>
      </c>
      <c r="U13" s="4">
        <f>IF($S13=0,"",VLOOKUP($S13,seznam!$A$2:$D$40,4,FALSE))</f>
      </c>
      <c r="V13" s="135"/>
      <c r="W13" s="136"/>
      <c r="X13" s="136"/>
      <c r="Y13" s="136"/>
      <c r="Z13" s="137"/>
      <c r="AA13" s="4">
        <f t="shared" si="2"/>
        <v>0</v>
      </c>
      <c r="AB13" s="4">
        <f t="shared" si="3"/>
        <v>0</v>
      </c>
      <c r="AC13" s="4">
        <f t="shared" si="4"/>
        <v>0</v>
      </c>
      <c r="AD13" s="4">
        <f>IF($AC13=0,"",VLOOKUP($AC13,seznam!$A$2:$C$40,2,FALSE))</f>
      </c>
      <c r="AE13" s="4">
        <f t="shared" si="5"/>
      </c>
      <c r="AF13" s="4">
        <f t="shared" si="6"/>
        <v>0</v>
      </c>
      <c r="AG13" s="4">
        <f t="shared" si="7"/>
        <v>0</v>
      </c>
      <c r="AI13" s="4">
        <f t="shared" si="8"/>
        <v>0</v>
      </c>
      <c r="AJ13" s="4">
        <f t="shared" si="9"/>
        <v>0</v>
      </c>
      <c r="AK13" s="4">
        <f t="shared" si="10"/>
        <v>0</v>
      </c>
      <c r="AL13" s="4">
        <f t="shared" si="11"/>
        <v>0</v>
      </c>
      <c r="AM13" s="4">
        <f t="shared" si="12"/>
        <v>0</v>
      </c>
    </row>
    <row r="14" spans="13:39" ht="16.5" customHeight="1" thickTop="1">
      <c r="M14" s="199"/>
      <c r="N14" s="4" t="str">
        <f t="shared" si="1"/>
        <v>bye - bye</v>
      </c>
      <c r="O14" s="4" t="str">
        <f>CONCATENATE(B5)</f>
        <v>Dvouhra - Skupina A</v>
      </c>
      <c r="P14" s="4">
        <f>A8</f>
        <v>0</v>
      </c>
      <c r="Q14" s="4" t="str">
        <f>IF($P14=0,"bye",VLOOKUP($P14,seznam!$A$2:$C$40,2,FALSE))</f>
        <v>bye</v>
      </c>
      <c r="R14" s="4">
        <f>IF($P14=0,"",VLOOKUP($P14,seznam!$A$2:$D$40,4,FALSE))</f>
      </c>
      <c r="S14" s="4">
        <f>A6</f>
        <v>0</v>
      </c>
      <c r="T14" s="4" t="str">
        <f>IF($S14=0,"bye",VLOOKUP($S14,seznam!$A$2:$C$40,2,FALSE))</f>
        <v>bye</v>
      </c>
      <c r="U14" s="4">
        <f>IF($S14=0,"",VLOOKUP($S14,seznam!$A$2:$D$40,4,FALSE))</f>
      </c>
      <c r="V14" s="135"/>
      <c r="W14" s="136"/>
      <c r="X14" s="136"/>
      <c r="Y14" s="136"/>
      <c r="Z14" s="137"/>
      <c r="AA14" s="4">
        <f t="shared" si="2"/>
        <v>0</v>
      </c>
      <c r="AB14" s="4">
        <f t="shared" si="3"/>
        <v>0</v>
      </c>
      <c r="AC14" s="4">
        <f t="shared" si="4"/>
        <v>0</v>
      </c>
      <c r="AD14" s="4">
        <f>IF($AC14=0,"",VLOOKUP($AC14,seznam!$A$2:$C$40,2,FALSE))</f>
      </c>
      <c r="AE14" s="4">
        <f t="shared" si="5"/>
      </c>
      <c r="AF14" s="4">
        <f t="shared" si="6"/>
        <v>0</v>
      </c>
      <c r="AG14" s="4">
        <f t="shared" si="7"/>
        <v>0</v>
      </c>
      <c r="AI14" s="4">
        <f t="shared" si="8"/>
        <v>0</v>
      </c>
      <c r="AJ14" s="4">
        <f t="shared" si="9"/>
        <v>0</v>
      </c>
      <c r="AK14" s="4">
        <f t="shared" si="10"/>
        <v>0</v>
      </c>
      <c r="AL14" s="4">
        <f t="shared" si="11"/>
        <v>0</v>
      </c>
      <c r="AM14" s="4">
        <f t="shared" si="12"/>
        <v>0</v>
      </c>
    </row>
    <row r="15" spans="2:39" ht="16.5" customHeight="1">
      <c r="B15" s="100"/>
      <c r="G15" s="100"/>
      <c r="M15" s="199"/>
      <c r="N15" s="4" t="str">
        <f t="shared" si="1"/>
        <v>bye - bye</v>
      </c>
      <c r="O15" s="4" t="str">
        <f>CONCATENATE(B5)</f>
        <v>Dvouhra - Skupina A</v>
      </c>
      <c r="P15" s="4">
        <f>A9</f>
        <v>0</v>
      </c>
      <c r="Q15" s="4" t="str">
        <f>IF($P15=0,"bye",VLOOKUP($P15,seznam!$A$2:$C$40,2,FALSE))</f>
        <v>bye</v>
      </c>
      <c r="R15" s="4">
        <f>IF($P15=0,"",VLOOKUP($P15,seznam!$A$2:$D$40,4,FALSE))</f>
      </c>
      <c r="S15" s="4">
        <f>A12</f>
        <v>0</v>
      </c>
      <c r="T15" s="4" t="str">
        <f>IF($S15=0,"bye",VLOOKUP($S15,seznam!$A$2:$C$40,2,FALSE))</f>
        <v>bye</v>
      </c>
      <c r="U15" s="4">
        <f>IF($S15=0,"",VLOOKUP($S15,seznam!$A$2:$D$40,4,FALSE))</f>
      </c>
      <c r="V15" s="135"/>
      <c r="W15" s="136"/>
      <c r="X15" s="136"/>
      <c r="Y15" s="136"/>
      <c r="Z15" s="137"/>
      <c r="AA15" s="4">
        <f t="shared" si="2"/>
        <v>0</v>
      </c>
      <c r="AB15" s="4">
        <f t="shared" si="3"/>
        <v>0</v>
      </c>
      <c r="AC15" s="4">
        <f t="shared" si="4"/>
        <v>0</v>
      </c>
      <c r="AD15" s="4">
        <f>IF($AC15=0,"",VLOOKUP($AC15,seznam!$A$2:$C$40,2,FALSE))</f>
      </c>
      <c r="AE15" s="4">
        <f t="shared" si="5"/>
      </c>
      <c r="AF15" s="4">
        <f t="shared" si="6"/>
        <v>0</v>
      </c>
      <c r="AG15" s="4">
        <f t="shared" si="7"/>
        <v>0</v>
      </c>
      <c r="AI15" s="4">
        <f t="shared" si="8"/>
        <v>0</v>
      </c>
      <c r="AJ15" s="4">
        <f t="shared" si="9"/>
        <v>0</v>
      </c>
      <c r="AK15" s="4">
        <f t="shared" si="10"/>
        <v>0</v>
      </c>
      <c r="AL15" s="4">
        <f t="shared" si="11"/>
        <v>0</v>
      </c>
      <c r="AM15" s="4">
        <f t="shared" si="12"/>
        <v>0</v>
      </c>
    </row>
    <row r="16" spans="3:39" ht="16.5" customHeight="1">
      <c r="C16" s="99"/>
      <c r="D16" s="99"/>
      <c r="E16" s="99"/>
      <c r="K16" s="99"/>
      <c r="M16" s="199"/>
      <c r="N16" s="4" t="str">
        <f t="shared" si="1"/>
        <v>bye - bye</v>
      </c>
      <c r="O16" s="4" t="str">
        <f>CONCATENATE(B5)</f>
        <v>Dvouhra - Skupina A</v>
      </c>
      <c r="P16" s="4">
        <f>A10</f>
        <v>0</v>
      </c>
      <c r="Q16" s="4" t="str">
        <f>IF($P16=0,"bye",VLOOKUP($P16,seznam!$A$2:$C$40,2,FALSE))</f>
        <v>bye</v>
      </c>
      <c r="R16" s="4">
        <f>IF($P16=0,"",VLOOKUP($P16,seznam!$A$2:$D$40,4,FALSE))</f>
      </c>
      <c r="S16" s="4">
        <f>A11</f>
        <v>0</v>
      </c>
      <c r="T16" s="4" t="str">
        <f>IF($S16=0,"bye",VLOOKUP($S16,seznam!$A$2:$C$40,2,FALSE))</f>
        <v>bye</v>
      </c>
      <c r="U16" s="4">
        <f>IF($S16=0,"",VLOOKUP($S16,seznam!$A$2:$D$40,4,FALSE))</f>
      </c>
      <c r="V16" s="135"/>
      <c r="W16" s="136"/>
      <c r="X16" s="136"/>
      <c r="Y16" s="136"/>
      <c r="Z16" s="137"/>
      <c r="AA16" s="4">
        <f t="shared" si="2"/>
        <v>0</v>
      </c>
      <c r="AB16" s="4">
        <f t="shared" si="3"/>
        <v>0</v>
      </c>
      <c r="AC16" s="4">
        <f t="shared" si="4"/>
        <v>0</v>
      </c>
      <c r="AD16" s="4">
        <f>IF($AC16=0,"",VLOOKUP($AC16,seznam!$A$2:$C$40,2,FALSE))</f>
      </c>
      <c r="AE16" s="4">
        <f t="shared" si="5"/>
      </c>
      <c r="AF16" s="4">
        <f t="shared" si="6"/>
        <v>0</v>
      </c>
      <c r="AG16" s="4">
        <f t="shared" si="7"/>
        <v>0</v>
      </c>
      <c r="AI16" s="4">
        <f t="shared" si="8"/>
        <v>0</v>
      </c>
      <c r="AJ16" s="4">
        <f t="shared" si="9"/>
        <v>0</v>
      </c>
      <c r="AK16" s="4">
        <f t="shared" si="10"/>
        <v>0</v>
      </c>
      <c r="AL16" s="4">
        <f t="shared" si="11"/>
        <v>0</v>
      </c>
      <c r="AM16" s="4">
        <f t="shared" si="12"/>
        <v>0</v>
      </c>
    </row>
    <row r="17" spans="3:39" ht="16.5" customHeight="1">
      <c r="C17" s="99"/>
      <c r="D17" s="99"/>
      <c r="E17" s="99"/>
      <c r="K17" s="99"/>
      <c r="M17" s="199" t="s">
        <v>54</v>
      </c>
      <c r="N17" s="4" t="str">
        <f t="shared" si="1"/>
        <v>bye - bye</v>
      </c>
      <c r="O17" s="4" t="str">
        <f>CONCATENATE(B5)</f>
        <v>Dvouhra - Skupina A</v>
      </c>
      <c r="P17" s="4">
        <f>A13</f>
        <v>0</v>
      </c>
      <c r="Q17" s="4" t="str">
        <f>IF($P17=0,"bye",VLOOKUP($P17,seznam!$A$2:$C$40,2,FALSE))</f>
        <v>bye</v>
      </c>
      <c r="R17" s="4">
        <f>IF($P17=0,"",VLOOKUP($P17,seznam!$A$2:$D$40,4,FALSE))</f>
      </c>
      <c r="S17" s="4">
        <f>A11</f>
        <v>0</v>
      </c>
      <c r="T17" s="4" t="str">
        <f>IF($S17=0,"bye",VLOOKUP($S17,seznam!$A$2:$C$40,2,FALSE))</f>
        <v>bye</v>
      </c>
      <c r="U17" s="4">
        <f>IF($S17=0,"",VLOOKUP($S17,seznam!$A$2:$D$40,4,FALSE))</f>
      </c>
      <c r="V17" s="135"/>
      <c r="W17" s="136"/>
      <c r="X17" s="136"/>
      <c r="Y17" s="136"/>
      <c r="Z17" s="137"/>
      <c r="AA17" s="4">
        <f t="shared" si="2"/>
        <v>0</v>
      </c>
      <c r="AB17" s="4">
        <f t="shared" si="3"/>
        <v>0</v>
      </c>
      <c r="AC17" s="4">
        <f t="shared" si="4"/>
        <v>0</v>
      </c>
      <c r="AD17" s="4">
        <f>IF($AC17=0,"",VLOOKUP($AC17,seznam!$A$2:$C$40,2,FALSE))</f>
      </c>
      <c r="AE17" s="4">
        <f t="shared" si="5"/>
      </c>
      <c r="AF17" s="4">
        <f t="shared" si="6"/>
        <v>0</v>
      </c>
      <c r="AG17" s="4">
        <f t="shared" si="7"/>
        <v>0</v>
      </c>
      <c r="AI17" s="4">
        <f t="shared" si="8"/>
        <v>0</v>
      </c>
      <c r="AJ17" s="4">
        <f t="shared" si="9"/>
        <v>0</v>
      </c>
      <c r="AK17" s="4">
        <f t="shared" si="10"/>
        <v>0</v>
      </c>
      <c r="AL17" s="4">
        <f t="shared" si="11"/>
        <v>0</v>
      </c>
      <c r="AM17" s="4">
        <f t="shared" si="12"/>
        <v>0</v>
      </c>
    </row>
    <row r="18" spans="3:39" ht="16.5" customHeight="1">
      <c r="C18" s="99"/>
      <c r="D18" s="99"/>
      <c r="E18" s="99"/>
      <c r="K18" s="99"/>
      <c r="M18" s="199"/>
      <c r="N18" s="4" t="str">
        <f t="shared" si="1"/>
        <v>bye - bye</v>
      </c>
      <c r="O18" s="4" t="str">
        <f>CONCATENATE(B5)</f>
        <v>Dvouhra - Skupina A</v>
      </c>
      <c r="P18" s="4">
        <f>A12</f>
        <v>0</v>
      </c>
      <c r="Q18" s="4" t="str">
        <f>IF($P18=0,"bye",VLOOKUP($P18,seznam!$A$2:$C$40,2,FALSE))</f>
        <v>bye</v>
      </c>
      <c r="R18" s="4">
        <f>IF($P18=0,"",VLOOKUP($P18,seznam!$A$2:$D$40,4,FALSE))</f>
      </c>
      <c r="S18" s="4">
        <f>A10</f>
        <v>0</v>
      </c>
      <c r="T18" s="4" t="str">
        <f>IF($S18=0,"bye",VLOOKUP($S18,seznam!$A$2:$C$40,2,FALSE))</f>
        <v>bye</v>
      </c>
      <c r="U18" s="4">
        <f>IF($S18=0,"",VLOOKUP($S18,seznam!$A$2:$D$40,4,FALSE))</f>
      </c>
      <c r="V18" s="135"/>
      <c r="W18" s="136"/>
      <c r="X18" s="136"/>
      <c r="Y18" s="136"/>
      <c r="Z18" s="137"/>
      <c r="AA18" s="4">
        <f t="shared" si="2"/>
        <v>0</v>
      </c>
      <c r="AB18" s="4">
        <f t="shared" si="3"/>
        <v>0</v>
      </c>
      <c r="AC18" s="4">
        <f t="shared" si="4"/>
        <v>0</v>
      </c>
      <c r="AD18" s="4">
        <f>IF($AC18=0,"",VLOOKUP($AC18,seznam!$A$2:$C$40,2,FALSE))</f>
      </c>
      <c r="AE18" s="4">
        <f t="shared" si="5"/>
      </c>
      <c r="AF18" s="4">
        <f t="shared" si="6"/>
        <v>0</v>
      </c>
      <c r="AG18" s="4">
        <f t="shared" si="7"/>
        <v>0</v>
      </c>
      <c r="AI18" s="4">
        <f t="shared" si="8"/>
        <v>0</v>
      </c>
      <c r="AJ18" s="4">
        <f t="shared" si="9"/>
        <v>0</v>
      </c>
      <c r="AK18" s="4">
        <f t="shared" si="10"/>
        <v>0</v>
      </c>
      <c r="AL18" s="4">
        <f t="shared" si="11"/>
        <v>0</v>
      </c>
      <c r="AM18" s="4">
        <f t="shared" si="12"/>
        <v>0</v>
      </c>
    </row>
    <row r="19" spans="3:39" ht="16.5" customHeight="1">
      <c r="C19" s="99"/>
      <c r="D19" s="99"/>
      <c r="E19" s="99"/>
      <c r="K19" s="99"/>
      <c r="M19" s="199"/>
      <c r="N19" s="4" t="str">
        <f t="shared" si="1"/>
        <v>bye - bye</v>
      </c>
      <c r="O19" s="4" t="str">
        <f>CONCATENATE(B5)</f>
        <v>Dvouhra - Skupina A</v>
      </c>
      <c r="P19" s="4">
        <f aca="true" t="shared" si="13" ref="P19:P24">A6</f>
        <v>0</v>
      </c>
      <c r="Q19" s="4" t="str">
        <f>IF($P19=0,"bye",VLOOKUP($P19,seznam!$A$2:$C$40,2,FALSE))</f>
        <v>bye</v>
      </c>
      <c r="R19" s="4">
        <f>IF($P19=0,"",VLOOKUP($P19,seznam!$A$2:$D$40,4,FALSE))</f>
      </c>
      <c r="S19" s="4">
        <f>A9</f>
        <v>0</v>
      </c>
      <c r="T19" s="4" t="str">
        <f>IF($S19=0,"bye",VLOOKUP($S19,seznam!$A$2:$C$40,2,FALSE))</f>
        <v>bye</v>
      </c>
      <c r="U19" s="4">
        <f>IF($S19=0,"",VLOOKUP($S19,seznam!$A$2:$D$40,4,FALSE))</f>
      </c>
      <c r="V19" s="135"/>
      <c r="W19" s="136"/>
      <c r="X19" s="136"/>
      <c r="Y19" s="136"/>
      <c r="Z19" s="137"/>
      <c r="AA19" s="4">
        <f t="shared" si="2"/>
        <v>0</v>
      </c>
      <c r="AB19" s="4">
        <f t="shared" si="3"/>
        <v>0</v>
      </c>
      <c r="AC19" s="4">
        <f t="shared" si="4"/>
        <v>0</v>
      </c>
      <c r="AD19" s="4">
        <f>IF($AC19=0,"",VLOOKUP($AC19,seznam!$A$2:$C$40,2,FALSE))</f>
      </c>
      <c r="AE19" s="4">
        <f t="shared" si="5"/>
      </c>
      <c r="AF19" s="4">
        <f t="shared" si="6"/>
        <v>0</v>
      </c>
      <c r="AG19" s="4">
        <f t="shared" si="7"/>
        <v>0</v>
      </c>
      <c r="AI19" s="4">
        <f t="shared" si="8"/>
        <v>0</v>
      </c>
      <c r="AJ19" s="4">
        <f t="shared" si="9"/>
        <v>0</v>
      </c>
      <c r="AK19" s="4">
        <f t="shared" si="10"/>
        <v>0</v>
      </c>
      <c r="AL19" s="4">
        <f t="shared" si="11"/>
        <v>0</v>
      </c>
      <c r="AM19" s="4">
        <f t="shared" si="12"/>
        <v>0</v>
      </c>
    </row>
    <row r="20" spans="2:39" ht="16.5" customHeight="1">
      <c r="B20" s="100"/>
      <c r="G20" s="100"/>
      <c r="M20" s="199"/>
      <c r="N20" s="4" t="str">
        <f t="shared" si="1"/>
        <v>bye - bye</v>
      </c>
      <c r="O20" s="4" t="str">
        <f>CONCATENATE(B5)</f>
        <v>Dvouhra - Skupina A</v>
      </c>
      <c r="P20" s="4">
        <f t="shared" si="13"/>
        <v>0</v>
      </c>
      <c r="Q20" s="4" t="str">
        <f>IF($P20=0,"bye",VLOOKUP($P20,seznam!$A$2:$C$40,2,FALSE))</f>
        <v>bye</v>
      </c>
      <c r="R20" s="4">
        <f>IF($P20=0,"",VLOOKUP($P20,seznam!$A$2:$D$40,4,FALSE))</f>
      </c>
      <c r="S20" s="4">
        <f>A8</f>
        <v>0</v>
      </c>
      <c r="T20" s="4" t="str">
        <f>IF($S20=0,"bye",VLOOKUP($S20,seznam!$A$2:$C$40,2,FALSE))</f>
        <v>bye</v>
      </c>
      <c r="U20" s="4">
        <f>IF($S20=0,"",VLOOKUP($S20,seznam!$A$2:$D$40,4,FALSE))</f>
      </c>
      <c r="V20" s="135"/>
      <c r="W20" s="136"/>
      <c r="X20" s="136"/>
      <c r="Y20" s="136"/>
      <c r="Z20" s="138"/>
      <c r="AA20" s="4">
        <f>COUNTIF(AI20:AM20,"&gt;0")</f>
        <v>0</v>
      </c>
      <c r="AB20" s="4">
        <f>COUNTIF(AI20:AM20,"&lt;0")</f>
        <v>0</v>
      </c>
      <c r="AC20" s="4">
        <f>IF(AA20=AB20,0,IF(AA20&gt;AB20,P20,S20))</f>
        <v>0</v>
      </c>
      <c r="AD20" s="4">
        <f>IF($AC20=0,"",VLOOKUP($AC20,seznam!$A$2:$C$40,2,FALSE))</f>
      </c>
      <c r="AE20" s="4">
        <f>IF(AA20=AB20,"",IF(AA20&gt;AB20,CONCATENATE(AA20,":",AB20," (",V20,",",W20,",",X20,IF(SUM(AA20:AB20)&gt;3,",",""),Y20,IF(SUM(AA20:AB20)&gt;4,",",""),Z20,")"),CONCATENATE(AB20,":",AA20," (",-V20,",",-W20,",",-X20,IF(SUM(AA20:AB20)&gt;3,CONCATENATE(",",-Y20),""),IF(SUM(AA20:AB20)&gt;4,CONCATENATE(",",-Z20),""),")")))</f>
      </c>
      <c r="AF20" s="4">
        <f>IF(V20="",0,IF(AA20&gt;AB20,2,1))</f>
        <v>0</v>
      </c>
      <c r="AG20" s="4">
        <f>IF(V20="",0,IF(AB20&gt;AA20,2,1))</f>
        <v>0</v>
      </c>
      <c r="AI20" s="4">
        <f aca="true" t="shared" si="14" ref="AI20:AM32">IF(V20="",0,IF(MID(V20,1,1)="-",-1,1))</f>
        <v>0</v>
      </c>
      <c r="AJ20" s="4">
        <f t="shared" si="14"/>
        <v>0</v>
      </c>
      <c r="AK20" s="4">
        <f t="shared" si="14"/>
        <v>0</v>
      </c>
      <c r="AL20" s="4">
        <f t="shared" si="14"/>
        <v>0</v>
      </c>
      <c r="AM20" s="4">
        <f t="shared" si="14"/>
        <v>0</v>
      </c>
    </row>
    <row r="21" spans="3:39" ht="16.5" customHeight="1">
      <c r="C21" s="99"/>
      <c r="D21" s="99"/>
      <c r="E21" s="99"/>
      <c r="M21" s="199" t="s">
        <v>50</v>
      </c>
      <c r="N21" s="4" t="str">
        <f t="shared" si="1"/>
        <v>bye - bye</v>
      </c>
      <c r="O21" s="4" t="str">
        <f>CONCATENATE(B5)</f>
        <v>Dvouhra - Skupina A</v>
      </c>
      <c r="P21" s="4">
        <f t="shared" si="13"/>
        <v>0</v>
      </c>
      <c r="Q21" s="4" t="str">
        <f>IF($P21=0,"bye",VLOOKUP($P21,seznam!$A$2:$C$40,2,FALSE))</f>
        <v>bye</v>
      </c>
      <c r="R21" s="4">
        <f>IF($P21=0,"",VLOOKUP($P21,seznam!$A$2:$D$40,4,FALSE))</f>
      </c>
      <c r="S21" s="4">
        <f>A13</f>
        <v>0</v>
      </c>
      <c r="T21" s="4" t="str">
        <f>IF($S21=0,"bye",VLOOKUP($S21,seznam!$A$2:$C$40,2,FALSE))</f>
        <v>bye</v>
      </c>
      <c r="U21" s="4">
        <f>IF($S21=0,"",VLOOKUP($S21,seznam!$A$2:$D$40,4,FALSE))</f>
      </c>
      <c r="V21" s="135"/>
      <c r="W21" s="136"/>
      <c r="X21" s="136"/>
      <c r="Y21" s="136"/>
      <c r="Z21" s="138"/>
      <c r="AA21" s="4">
        <f>COUNTIF(AI21:AM21,"&gt;0")</f>
        <v>0</v>
      </c>
      <c r="AB21" s="4">
        <f>COUNTIF(AI21:AM21,"&lt;0")</f>
        <v>0</v>
      </c>
      <c r="AC21" s="4">
        <f>IF(AA21=AB21,0,IF(AA21&gt;AB21,P21,S21))</f>
        <v>0</v>
      </c>
      <c r="AD21" s="4">
        <f>IF($AC21=0,"",VLOOKUP($AC21,seznam!$A$2:$C$40,2,FALSE))</f>
      </c>
      <c r="AE21" s="4">
        <f>IF(AA21=AB21,"",IF(AA21&gt;AB21,CONCATENATE(AA21,":",AB21," (",V21,",",W21,",",X21,IF(SUM(AA21:AB21)&gt;3,",",""),Y21,IF(SUM(AA21:AB21)&gt;4,",",""),Z21,")"),CONCATENATE(AB21,":",AA21," (",-V21,",",-W21,",",-X21,IF(SUM(AA21:AB21)&gt;3,CONCATENATE(",",-Y21),""),IF(SUM(AA21:AB21)&gt;4,CONCATENATE(",",-Z21),""),")")))</f>
      </c>
      <c r="AF21" s="4">
        <f>IF(V21="",0,IF(AA21&gt;AB21,2,1))</f>
        <v>0</v>
      </c>
      <c r="AG21" s="4">
        <f>IF(V21="",0,IF(AB21&gt;AA21,2,1))</f>
        <v>0</v>
      </c>
      <c r="AI21" s="4">
        <f t="shared" si="14"/>
        <v>0</v>
      </c>
      <c r="AJ21" s="4">
        <f t="shared" si="14"/>
        <v>0</v>
      </c>
      <c r="AK21" s="4">
        <f t="shared" si="14"/>
        <v>0</v>
      </c>
      <c r="AL21" s="4">
        <f t="shared" si="14"/>
        <v>0</v>
      </c>
      <c r="AM21" s="4">
        <f t="shared" si="14"/>
        <v>0</v>
      </c>
    </row>
    <row r="22" spans="3:39" ht="16.5" customHeight="1">
      <c r="C22" s="99"/>
      <c r="D22" s="99"/>
      <c r="E22" s="99"/>
      <c r="M22" s="199"/>
      <c r="N22" s="4" t="str">
        <f t="shared" si="1"/>
        <v>bye - bye</v>
      </c>
      <c r="O22" s="4" t="str">
        <f>CONCATENATE(B5)</f>
        <v>Dvouhra - Skupina A</v>
      </c>
      <c r="P22" s="4">
        <f t="shared" si="13"/>
        <v>0</v>
      </c>
      <c r="Q22" s="4" t="str">
        <f>IF($P22=0,"bye",VLOOKUP($P22,seznam!$A$2:$C$40,2,FALSE))</f>
        <v>bye</v>
      </c>
      <c r="R22" s="4">
        <f>IF($P22=0,"",VLOOKUP($P22,seznam!$A$2:$D$40,4,FALSE))</f>
      </c>
      <c r="S22" s="4">
        <f>A7</f>
        <v>0</v>
      </c>
      <c r="T22" s="4" t="str">
        <f>IF($S22=0,"bye",VLOOKUP($S22,seznam!$A$2:$C$40,2,FALSE))</f>
        <v>bye</v>
      </c>
      <c r="U22" s="4">
        <f>IF($S22=0,"",VLOOKUP($S22,seznam!$A$2:$D$40,4,FALSE))</f>
      </c>
      <c r="V22" s="135"/>
      <c r="W22" s="136"/>
      <c r="X22" s="136"/>
      <c r="Y22" s="136"/>
      <c r="Z22" s="138"/>
      <c r="AA22" s="4">
        <f>COUNTIF(AI22:AM22,"&gt;0")</f>
        <v>0</v>
      </c>
      <c r="AB22" s="4">
        <f>COUNTIF(AI22:AM22,"&lt;0")</f>
        <v>0</v>
      </c>
      <c r="AC22" s="4">
        <f>IF(AA22=AB22,0,IF(AA22&gt;AB22,P22,S22))</f>
        <v>0</v>
      </c>
      <c r="AD22" s="4">
        <f>IF($AC22=0,"",VLOOKUP($AC22,seznam!$A$2:$C$40,2,FALSE))</f>
      </c>
      <c r="AE22" s="4">
        <f>IF(AA22=AB22,"",IF(AA22&gt;AB22,CONCATENATE(AA22,":",AB22," (",V22,",",W22,",",X22,IF(SUM(AA22:AB22)&gt;3,",",""),Y22,IF(SUM(AA22:AB22)&gt;4,",",""),Z22,")"),CONCATENATE(AB22,":",AA22," (",-V22,",",-W22,",",-X22,IF(SUM(AA22:AB22)&gt;3,CONCATENATE(",",-Y22),""),IF(SUM(AA22:AB22)&gt;4,CONCATENATE(",",-Z22),""),")")))</f>
      </c>
      <c r="AF22" s="4">
        <f>IF(V22="",0,IF(AA22&gt;AB22,2,1))</f>
        <v>0</v>
      </c>
      <c r="AG22" s="4">
        <f>IF(V22="",0,IF(AB22&gt;AA22,2,1))</f>
        <v>0</v>
      </c>
      <c r="AI22" s="4">
        <f t="shared" si="14"/>
        <v>0</v>
      </c>
      <c r="AJ22" s="4">
        <f t="shared" si="14"/>
        <v>0</v>
      </c>
      <c r="AK22" s="4">
        <f t="shared" si="14"/>
        <v>0</v>
      </c>
      <c r="AL22" s="4">
        <f t="shared" si="14"/>
        <v>0</v>
      </c>
      <c r="AM22" s="4">
        <f t="shared" si="14"/>
        <v>0</v>
      </c>
    </row>
    <row r="23" spans="3:39" ht="16.5" customHeight="1">
      <c r="C23" s="99"/>
      <c r="D23" s="99"/>
      <c r="E23" s="99"/>
      <c r="M23" s="199"/>
      <c r="N23" s="4" t="str">
        <f t="shared" si="1"/>
        <v>bye - bye</v>
      </c>
      <c r="O23" s="4" t="str">
        <f>CONCATENATE(B5)</f>
        <v>Dvouhra - Skupina A</v>
      </c>
      <c r="P23" s="4">
        <f t="shared" si="13"/>
        <v>0</v>
      </c>
      <c r="Q23" s="4" t="str">
        <f>IF($P23=0,"bye",VLOOKUP($P23,seznam!$A$2:$C$40,2,FALSE))</f>
        <v>bye</v>
      </c>
      <c r="R23" s="4">
        <f>IF($P23=0,"",VLOOKUP($P23,seznam!$A$2:$D$40,4,FALSE))</f>
      </c>
      <c r="S23" s="4">
        <f>A6</f>
        <v>0</v>
      </c>
      <c r="T23" s="4" t="str">
        <f>IF($S23=0,"bye",VLOOKUP($S23,seznam!$A$2:$C$40,2,FALSE))</f>
        <v>bye</v>
      </c>
      <c r="U23" s="4">
        <f>IF($S23=0,"",VLOOKUP($S23,seznam!$A$2:$D$40,4,FALSE))</f>
      </c>
      <c r="V23" s="146"/>
      <c r="W23" s="139"/>
      <c r="X23" s="139"/>
      <c r="Y23" s="139"/>
      <c r="Z23" s="147"/>
      <c r="AA23" s="4">
        <f aca="true" t="shared" si="15" ref="AA23:AA32">COUNTIF(AI23:AM23,"&gt;0")</f>
        <v>0</v>
      </c>
      <c r="AB23" s="4">
        <f aca="true" t="shared" si="16" ref="AB23:AB32">COUNTIF(AI23:AM23,"&lt;0")</f>
        <v>0</v>
      </c>
      <c r="AC23" s="4">
        <f aca="true" t="shared" si="17" ref="AC23:AC32">IF(AA23=AB23,0,IF(AA23&gt;AB23,P23,S23))</f>
        <v>0</v>
      </c>
      <c r="AD23" s="4">
        <f>IF($AC23=0,"",VLOOKUP($AC23,seznam!$A$2:$C$40,2,FALSE))</f>
      </c>
      <c r="AE23" s="4">
        <f aca="true" t="shared" si="18" ref="AE23:AE32">IF(AA23=AB23,"",IF(AA23&gt;AB23,CONCATENATE(AA23,":",AB23," (",V23,",",W23,",",X23,IF(SUM(AA23:AB23)&gt;3,",",""),Y23,IF(SUM(AA23:AB23)&gt;4,",",""),Z23,")"),CONCATENATE(AB23,":",AA23," (",-V23,",",-W23,",",-X23,IF(SUM(AA23:AB23)&gt;3,CONCATENATE(",",-Y23),""),IF(SUM(AA23:AB23)&gt;4,CONCATENATE(",",-Z23),""),")")))</f>
      </c>
      <c r="AF23" s="4">
        <f aca="true" t="shared" si="19" ref="AF23:AF32">IF(V23="",0,IF(AA23&gt;AB23,2,1))</f>
        <v>0</v>
      </c>
      <c r="AG23" s="4">
        <f aca="true" t="shared" si="20" ref="AG23:AG32">IF(V23="",0,IF(AB23&gt;AA23,2,1))</f>
        <v>0</v>
      </c>
      <c r="AI23" s="4">
        <f t="shared" si="14"/>
        <v>0</v>
      </c>
      <c r="AJ23" s="4">
        <f t="shared" si="14"/>
        <v>0</v>
      </c>
      <c r="AK23" s="4">
        <f t="shared" si="14"/>
        <v>0</v>
      </c>
      <c r="AL23" s="4">
        <f t="shared" si="14"/>
        <v>0</v>
      </c>
      <c r="AM23" s="4">
        <f t="shared" si="14"/>
        <v>0</v>
      </c>
    </row>
    <row r="24" spans="3:39" ht="16.5" customHeight="1">
      <c r="C24" s="99"/>
      <c r="D24" s="99"/>
      <c r="E24" s="99"/>
      <c r="M24" s="199"/>
      <c r="N24" s="4" t="str">
        <f t="shared" si="1"/>
        <v>bye - bye</v>
      </c>
      <c r="O24" s="4" t="str">
        <f>CONCATENATE(B5)</f>
        <v>Dvouhra - Skupina A</v>
      </c>
      <c r="P24" s="4">
        <f t="shared" si="13"/>
        <v>0</v>
      </c>
      <c r="Q24" s="4" t="str">
        <f>IF($P24=0,"bye",VLOOKUP($P24,seznam!$A$2:$C$40,2,FALSE))</f>
        <v>bye</v>
      </c>
      <c r="R24" s="4">
        <f>IF($P24=0,"",VLOOKUP($P24,seznam!$A$2:$D$40,4,FALSE))</f>
      </c>
      <c r="S24" s="4">
        <f>A12</f>
        <v>0</v>
      </c>
      <c r="T24" s="4" t="str">
        <f>IF($S24=0,"bye",VLOOKUP($S24,seznam!$A$2:$C$40,2,FALSE))</f>
        <v>bye</v>
      </c>
      <c r="U24" s="4">
        <f>IF($S24=0,"",VLOOKUP($S24,seznam!$A$2:$D$40,4,FALSE))</f>
      </c>
      <c r="V24" s="146"/>
      <c r="W24" s="139"/>
      <c r="X24" s="139"/>
      <c r="Y24" s="139"/>
      <c r="Z24" s="147"/>
      <c r="AA24" s="4">
        <f t="shared" si="15"/>
        <v>0</v>
      </c>
      <c r="AB24" s="4">
        <f t="shared" si="16"/>
        <v>0</v>
      </c>
      <c r="AC24" s="4">
        <f t="shared" si="17"/>
        <v>0</v>
      </c>
      <c r="AD24" s="4">
        <f>IF($AC24=0,"",VLOOKUP($AC24,seznam!$A$2:$C$40,2,FALSE))</f>
      </c>
      <c r="AE24" s="4">
        <f t="shared" si="18"/>
      </c>
      <c r="AF24" s="4">
        <f t="shared" si="19"/>
        <v>0</v>
      </c>
      <c r="AG24" s="4">
        <f t="shared" si="20"/>
        <v>0</v>
      </c>
      <c r="AI24" s="4">
        <f t="shared" si="14"/>
        <v>0</v>
      </c>
      <c r="AJ24" s="4">
        <f t="shared" si="14"/>
        <v>0</v>
      </c>
      <c r="AK24" s="4">
        <f t="shared" si="14"/>
        <v>0</v>
      </c>
      <c r="AL24" s="4">
        <f t="shared" si="14"/>
        <v>0</v>
      </c>
      <c r="AM24" s="4">
        <f t="shared" si="14"/>
        <v>0</v>
      </c>
    </row>
    <row r="25" spans="1:39" ht="16.5" customHeight="1">
      <c r="A25" s="139"/>
      <c r="B25" s="140"/>
      <c r="C25" s="141"/>
      <c r="D25" s="141"/>
      <c r="E25" s="141"/>
      <c r="F25" s="141"/>
      <c r="G25" s="141"/>
      <c r="H25" s="141"/>
      <c r="I25" s="141"/>
      <c r="J25" s="141"/>
      <c r="M25" s="199" t="s">
        <v>55</v>
      </c>
      <c r="N25" s="4" t="str">
        <f t="shared" si="1"/>
        <v>bye - bye</v>
      </c>
      <c r="O25" s="4" t="str">
        <f>CONCATENATE(B5)</f>
        <v>Dvouhra - Skupina A</v>
      </c>
      <c r="P25" s="4">
        <f>A13</f>
        <v>0</v>
      </c>
      <c r="Q25" s="4" t="str">
        <f>IF($P25=0,"bye",VLOOKUP($P25,seznam!$A$2:$C$40,2,FALSE))</f>
        <v>bye</v>
      </c>
      <c r="R25" s="4">
        <f>IF($P25=0,"",VLOOKUP($P25,seznam!$A$2:$D$40,4,FALSE))</f>
      </c>
      <c r="S25" s="4">
        <f>A12</f>
        <v>0</v>
      </c>
      <c r="T25" s="4" t="str">
        <f>IF($S25=0,"bye",VLOOKUP($S25,seznam!$A$2:$C$40,2,FALSE))</f>
        <v>bye</v>
      </c>
      <c r="U25" s="4">
        <f>IF($S25=0,"",VLOOKUP($S25,seznam!$A$2:$D$40,4,FALSE))</f>
      </c>
      <c r="V25" s="146"/>
      <c r="W25" s="139"/>
      <c r="X25" s="139"/>
      <c r="Y25" s="139"/>
      <c r="Z25" s="147"/>
      <c r="AA25" s="4">
        <f t="shared" si="15"/>
        <v>0</v>
      </c>
      <c r="AB25" s="4">
        <f t="shared" si="16"/>
        <v>0</v>
      </c>
      <c r="AC25" s="4">
        <f t="shared" si="17"/>
        <v>0</v>
      </c>
      <c r="AD25" s="4">
        <f>IF($AC25=0,"",VLOOKUP($AC25,seznam!$A$2:$C$40,2,FALSE))</f>
      </c>
      <c r="AE25" s="4">
        <f t="shared" si="18"/>
      </c>
      <c r="AF25" s="4">
        <f t="shared" si="19"/>
        <v>0</v>
      </c>
      <c r="AG25" s="4">
        <f t="shared" si="20"/>
        <v>0</v>
      </c>
      <c r="AI25" s="4">
        <f t="shared" si="14"/>
        <v>0</v>
      </c>
      <c r="AJ25" s="4">
        <f t="shared" si="14"/>
        <v>0</v>
      </c>
      <c r="AK25" s="4">
        <f t="shared" si="14"/>
        <v>0</v>
      </c>
      <c r="AL25" s="4">
        <f t="shared" si="14"/>
        <v>0</v>
      </c>
      <c r="AM25" s="4">
        <f t="shared" si="14"/>
        <v>0</v>
      </c>
    </row>
    <row r="26" spans="1:39" ht="16.5" customHeight="1">
      <c r="A26" s="142"/>
      <c r="B26" s="142"/>
      <c r="C26" s="141"/>
      <c r="D26" s="141"/>
      <c r="E26" s="141"/>
      <c r="F26" s="141"/>
      <c r="G26" s="141"/>
      <c r="H26" s="141"/>
      <c r="I26" s="141"/>
      <c r="J26" s="141"/>
      <c r="M26" s="199"/>
      <c r="N26" s="4" t="str">
        <f t="shared" si="1"/>
        <v>bye - bye</v>
      </c>
      <c r="O26" s="4" t="str">
        <f>CONCATENATE(B5)</f>
        <v>Dvouhra - Skupina A</v>
      </c>
      <c r="P26" s="4">
        <f aca="true" t="shared" si="21" ref="P26:P32">A6</f>
        <v>0</v>
      </c>
      <c r="Q26" s="4" t="str">
        <f>IF($P26=0,"bye",VLOOKUP($P26,seznam!$A$2:$C$40,2,FALSE))</f>
        <v>bye</v>
      </c>
      <c r="R26" s="4">
        <f>IF($P26=0,"",VLOOKUP($P26,seznam!$A$2:$D$40,4,FALSE))</f>
      </c>
      <c r="S26" s="4">
        <f>A11</f>
        <v>0</v>
      </c>
      <c r="T26" s="4" t="str">
        <f>IF($S26=0,"bye",VLOOKUP($S26,seznam!$A$2:$C$40,2,FALSE))</f>
        <v>bye</v>
      </c>
      <c r="U26" s="4">
        <f>IF($S26=0,"",VLOOKUP($S26,seznam!$A$2:$D$40,4,FALSE))</f>
      </c>
      <c r="V26" s="146"/>
      <c r="W26" s="139"/>
      <c r="X26" s="139"/>
      <c r="Y26" s="139"/>
      <c r="Z26" s="147"/>
      <c r="AA26" s="4">
        <f t="shared" si="15"/>
        <v>0</v>
      </c>
      <c r="AB26" s="4">
        <f t="shared" si="16"/>
        <v>0</v>
      </c>
      <c r="AC26" s="4">
        <f t="shared" si="17"/>
        <v>0</v>
      </c>
      <c r="AD26" s="4">
        <f>IF($AC26=0,"",VLOOKUP($AC26,seznam!$A$2:$C$40,2,FALSE))</f>
      </c>
      <c r="AE26" s="4">
        <f t="shared" si="18"/>
      </c>
      <c r="AF26" s="4">
        <f t="shared" si="19"/>
        <v>0</v>
      </c>
      <c r="AG26" s="4">
        <f t="shared" si="20"/>
        <v>0</v>
      </c>
      <c r="AI26" s="4">
        <f t="shared" si="14"/>
        <v>0</v>
      </c>
      <c r="AJ26" s="4">
        <f t="shared" si="14"/>
        <v>0</v>
      </c>
      <c r="AK26" s="4">
        <f t="shared" si="14"/>
        <v>0</v>
      </c>
      <c r="AL26" s="4">
        <f t="shared" si="14"/>
        <v>0</v>
      </c>
      <c r="AM26" s="4">
        <f t="shared" si="14"/>
        <v>0</v>
      </c>
    </row>
    <row r="27" spans="1:39" ht="16.5" customHeight="1">
      <c r="A27" s="142"/>
      <c r="B27" s="142"/>
      <c r="C27" s="141"/>
      <c r="D27" s="141"/>
      <c r="E27" s="141"/>
      <c r="F27" s="141"/>
      <c r="G27" s="141"/>
      <c r="H27" s="141"/>
      <c r="I27" s="141"/>
      <c r="J27" s="141"/>
      <c r="M27" s="199"/>
      <c r="N27" s="4" t="str">
        <f t="shared" si="1"/>
        <v>bye - bye</v>
      </c>
      <c r="O27" s="4" t="str">
        <f>CONCATENATE(B5)</f>
        <v>Dvouhra - Skupina A</v>
      </c>
      <c r="P27" s="4">
        <f t="shared" si="21"/>
        <v>0</v>
      </c>
      <c r="Q27" s="4" t="str">
        <f>IF($P27=0,"bye",VLOOKUP($P27,seznam!$A$2:$C$40,2,FALSE))</f>
        <v>bye</v>
      </c>
      <c r="R27" s="4">
        <f>IF($P27=0,"",VLOOKUP($P27,seznam!$A$2:$D$40,4,FALSE))</f>
      </c>
      <c r="S27" s="4">
        <f>A10</f>
        <v>0</v>
      </c>
      <c r="T27" s="4" t="str">
        <f>IF($S27=0,"bye",VLOOKUP($S27,seznam!$A$2:$C$40,2,FALSE))</f>
        <v>bye</v>
      </c>
      <c r="U27" s="4">
        <f>IF($S27=0,"",VLOOKUP($S27,seznam!$A$2:$D$40,4,FALSE))</f>
      </c>
      <c r="V27" s="146"/>
      <c r="W27" s="139"/>
      <c r="X27" s="139"/>
      <c r="Y27" s="139"/>
      <c r="Z27" s="147"/>
      <c r="AA27" s="4">
        <f t="shared" si="15"/>
        <v>0</v>
      </c>
      <c r="AB27" s="4">
        <f t="shared" si="16"/>
        <v>0</v>
      </c>
      <c r="AC27" s="4">
        <f t="shared" si="17"/>
        <v>0</v>
      </c>
      <c r="AD27" s="4">
        <f>IF($AC27=0,"",VLOOKUP($AC27,seznam!$A$2:$C$40,2,FALSE))</f>
      </c>
      <c r="AE27" s="4">
        <f t="shared" si="18"/>
      </c>
      <c r="AF27" s="4">
        <f t="shared" si="19"/>
        <v>0</v>
      </c>
      <c r="AG27" s="4">
        <f t="shared" si="20"/>
        <v>0</v>
      </c>
      <c r="AI27" s="4">
        <f t="shared" si="14"/>
        <v>0</v>
      </c>
      <c r="AJ27" s="4">
        <f t="shared" si="14"/>
        <v>0</v>
      </c>
      <c r="AK27" s="4">
        <f t="shared" si="14"/>
        <v>0</v>
      </c>
      <c r="AL27" s="4">
        <f t="shared" si="14"/>
        <v>0</v>
      </c>
      <c r="AM27" s="4">
        <f t="shared" si="14"/>
        <v>0</v>
      </c>
    </row>
    <row r="28" spans="1:39" ht="16.5" customHeight="1">
      <c r="A28" s="142"/>
      <c r="B28" s="142"/>
      <c r="C28" s="141"/>
      <c r="D28" s="141"/>
      <c r="E28" s="141"/>
      <c r="F28" s="141"/>
      <c r="G28" s="141"/>
      <c r="H28" s="141"/>
      <c r="I28" s="141"/>
      <c r="J28" s="141"/>
      <c r="M28" s="199"/>
      <c r="N28" s="4" t="str">
        <f t="shared" si="1"/>
        <v>bye - bye</v>
      </c>
      <c r="O28" s="4" t="str">
        <f>CONCATENATE(B5)</f>
        <v>Dvouhra - Skupina A</v>
      </c>
      <c r="P28" s="4">
        <f t="shared" si="21"/>
        <v>0</v>
      </c>
      <c r="Q28" s="4" t="str">
        <f>IF($P28=0,"bye",VLOOKUP($P28,seznam!$A$2:$C$40,2,FALSE))</f>
        <v>bye</v>
      </c>
      <c r="R28" s="4">
        <f>IF($P28=0,"",VLOOKUP($P28,seznam!$A$2:$D$40,4,FALSE))</f>
      </c>
      <c r="S28" s="4">
        <f>A9</f>
        <v>0</v>
      </c>
      <c r="T28" s="4" t="str">
        <f>IF($S28=0,"bye",VLOOKUP($S28,seznam!$A$2:$C$40,2,FALSE))</f>
        <v>bye</v>
      </c>
      <c r="U28" s="4">
        <f>IF($S28=0,"",VLOOKUP($S28,seznam!$A$2:$D$40,4,FALSE))</f>
      </c>
      <c r="V28" s="146"/>
      <c r="W28" s="139"/>
      <c r="X28" s="139"/>
      <c r="Y28" s="139"/>
      <c r="Z28" s="147"/>
      <c r="AA28" s="4">
        <f t="shared" si="15"/>
        <v>0</v>
      </c>
      <c r="AB28" s="4">
        <f t="shared" si="16"/>
        <v>0</v>
      </c>
      <c r="AC28" s="4">
        <f t="shared" si="17"/>
        <v>0</v>
      </c>
      <c r="AD28" s="4">
        <f>IF($AC28=0,"",VLOOKUP($AC28,seznam!$A$2:$C$40,2,FALSE))</f>
      </c>
      <c r="AE28" s="4">
        <f t="shared" si="18"/>
      </c>
      <c r="AF28" s="4">
        <f t="shared" si="19"/>
        <v>0</v>
      </c>
      <c r="AG28" s="4">
        <f t="shared" si="20"/>
        <v>0</v>
      </c>
      <c r="AI28" s="4">
        <f t="shared" si="14"/>
        <v>0</v>
      </c>
      <c r="AJ28" s="4">
        <f t="shared" si="14"/>
        <v>0</v>
      </c>
      <c r="AK28" s="4">
        <f t="shared" si="14"/>
        <v>0</v>
      </c>
      <c r="AL28" s="4">
        <f t="shared" si="14"/>
        <v>0</v>
      </c>
      <c r="AM28" s="4">
        <f t="shared" si="14"/>
        <v>0</v>
      </c>
    </row>
    <row r="29" spans="1:39" ht="16.5" customHeight="1">
      <c r="A29" s="142"/>
      <c r="B29" s="142"/>
      <c r="C29" s="141"/>
      <c r="D29" s="141"/>
      <c r="E29" s="141"/>
      <c r="F29" s="141"/>
      <c r="G29" s="141"/>
      <c r="H29" s="141"/>
      <c r="I29" s="141"/>
      <c r="J29" s="141"/>
      <c r="M29" s="199" t="s">
        <v>56</v>
      </c>
      <c r="N29" s="4" t="str">
        <f t="shared" si="1"/>
        <v>bye - bye</v>
      </c>
      <c r="O29" s="4" t="str">
        <f>CONCATENATE(B5)</f>
        <v>Dvouhra - Skupina A</v>
      </c>
      <c r="P29" s="4">
        <f t="shared" si="21"/>
        <v>0</v>
      </c>
      <c r="Q29" s="4" t="str">
        <f>IF($P29=0,"bye",VLOOKUP($P29,seznam!$A$2:$C$40,2,FALSE))</f>
        <v>bye</v>
      </c>
      <c r="R29" s="4">
        <f>IF($P29=0,"",VLOOKUP($P29,seznam!$A$2:$D$40,4,FALSE))</f>
      </c>
      <c r="S29" s="4">
        <f>A13</f>
        <v>0</v>
      </c>
      <c r="T29" s="4" t="str">
        <f>IF($S29=0,"bye",VLOOKUP($S29,seznam!$A$2:$C$40,2,FALSE))</f>
        <v>bye</v>
      </c>
      <c r="U29" s="4">
        <f>IF($S29=0,"",VLOOKUP($S29,seznam!$A$2:$D$40,4,FALSE))</f>
      </c>
      <c r="V29" s="146"/>
      <c r="W29" s="139"/>
      <c r="X29" s="139"/>
      <c r="Y29" s="139"/>
      <c r="Z29" s="147"/>
      <c r="AA29" s="4">
        <f t="shared" si="15"/>
        <v>0</v>
      </c>
      <c r="AB29" s="4">
        <f t="shared" si="16"/>
        <v>0</v>
      </c>
      <c r="AC29" s="4">
        <f t="shared" si="17"/>
        <v>0</v>
      </c>
      <c r="AD29" s="4">
        <f>IF($AC29=0,"",VLOOKUP($AC29,seznam!$A$2:$C$40,2,FALSE))</f>
      </c>
      <c r="AE29" s="4">
        <f t="shared" si="18"/>
      </c>
      <c r="AF29" s="4">
        <f t="shared" si="19"/>
        <v>0</v>
      </c>
      <c r="AG29" s="4">
        <f t="shared" si="20"/>
        <v>0</v>
      </c>
      <c r="AI29" s="4">
        <f t="shared" si="14"/>
        <v>0</v>
      </c>
      <c r="AJ29" s="4">
        <f t="shared" si="14"/>
        <v>0</v>
      </c>
      <c r="AK29" s="4">
        <f t="shared" si="14"/>
        <v>0</v>
      </c>
      <c r="AL29" s="4">
        <f t="shared" si="14"/>
        <v>0</v>
      </c>
      <c r="AM29" s="4">
        <f t="shared" si="14"/>
        <v>0</v>
      </c>
    </row>
    <row r="30" spans="1:39" ht="16.5" customHeight="1">
      <c r="A30" s="142"/>
      <c r="B30" s="142"/>
      <c r="C30" s="141"/>
      <c r="D30" s="141"/>
      <c r="E30" s="141"/>
      <c r="F30" s="141"/>
      <c r="G30" s="141"/>
      <c r="H30" s="141"/>
      <c r="I30" s="141"/>
      <c r="J30" s="141"/>
      <c r="M30" s="200"/>
      <c r="N30" s="4" t="str">
        <f t="shared" si="1"/>
        <v>bye - bye</v>
      </c>
      <c r="O30" s="4" t="str">
        <f>CONCATENATE(B5)</f>
        <v>Dvouhra - Skupina A</v>
      </c>
      <c r="P30" s="4">
        <f t="shared" si="21"/>
        <v>0</v>
      </c>
      <c r="Q30" s="4" t="str">
        <f>IF($P30=0,"bye",VLOOKUP($P30,seznam!$A$2:$C$40,2,FALSE))</f>
        <v>bye</v>
      </c>
      <c r="R30" s="4">
        <f>IF($P30=0,"",VLOOKUP($P30,seznam!$A$2:$D$40,4,FALSE))</f>
      </c>
      <c r="S30" s="4">
        <f>A8</f>
        <v>0</v>
      </c>
      <c r="T30" s="4" t="str">
        <f>IF($S30=0,"bye",VLOOKUP($S30,seznam!$A$2:$C$40,2,FALSE))</f>
        <v>bye</v>
      </c>
      <c r="U30" s="4">
        <f>IF($S30=0,"",VLOOKUP($S30,seznam!$A$2:$D$40,4,FALSE))</f>
      </c>
      <c r="V30" s="146"/>
      <c r="W30" s="139"/>
      <c r="X30" s="139"/>
      <c r="Y30" s="139"/>
      <c r="Z30" s="147"/>
      <c r="AA30" s="4">
        <f t="shared" si="15"/>
        <v>0</v>
      </c>
      <c r="AB30" s="4">
        <f t="shared" si="16"/>
        <v>0</v>
      </c>
      <c r="AC30" s="4">
        <f t="shared" si="17"/>
        <v>0</v>
      </c>
      <c r="AD30" s="4">
        <f>IF($AC30=0,"",VLOOKUP($AC30,seznam!$A$2:$C$40,2,FALSE))</f>
      </c>
      <c r="AE30" s="4">
        <f t="shared" si="18"/>
      </c>
      <c r="AF30" s="4">
        <f t="shared" si="19"/>
        <v>0</v>
      </c>
      <c r="AG30" s="4">
        <f t="shared" si="20"/>
        <v>0</v>
      </c>
      <c r="AI30" s="4">
        <f t="shared" si="14"/>
        <v>0</v>
      </c>
      <c r="AJ30" s="4">
        <f t="shared" si="14"/>
        <v>0</v>
      </c>
      <c r="AK30" s="4">
        <f t="shared" si="14"/>
        <v>0</v>
      </c>
      <c r="AL30" s="4">
        <f t="shared" si="14"/>
        <v>0</v>
      </c>
      <c r="AM30" s="4">
        <f t="shared" si="14"/>
        <v>0</v>
      </c>
    </row>
    <row r="31" spans="1:39" ht="16.5" customHeight="1">
      <c r="A31" s="142"/>
      <c r="B31" s="142"/>
      <c r="C31" s="141"/>
      <c r="D31" s="141"/>
      <c r="E31" s="141"/>
      <c r="F31" s="141"/>
      <c r="G31" s="141"/>
      <c r="H31" s="141"/>
      <c r="I31" s="141"/>
      <c r="J31" s="141"/>
      <c r="M31" s="200"/>
      <c r="N31" s="4" t="str">
        <f t="shared" si="1"/>
        <v>bye - bye</v>
      </c>
      <c r="O31" s="4" t="str">
        <f>CONCATENATE(B5)</f>
        <v>Dvouhra - Skupina A</v>
      </c>
      <c r="P31" s="4">
        <f t="shared" si="21"/>
        <v>0</v>
      </c>
      <c r="Q31" s="4" t="str">
        <f>IF($P31=0,"bye",VLOOKUP($P31,seznam!$A$2:$C$40,2,FALSE))</f>
        <v>bye</v>
      </c>
      <c r="R31" s="4">
        <f>IF($P31=0,"",VLOOKUP($P31,seznam!$A$2:$D$40,4,FALSE))</f>
      </c>
      <c r="S31" s="4">
        <f>A7</f>
        <v>0</v>
      </c>
      <c r="T31" s="4" t="str">
        <f>IF($S31=0,"bye",VLOOKUP($S31,seznam!$A$2:$C$40,2,FALSE))</f>
        <v>bye</v>
      </c>
      <c r="U31" s="4">
        <f>IF($S31=0,"",VLOOKUP($S31,seznam!$A$2:$D$40,4,FALSE))</f>
      </c>
      <c r="V31" s="146"/>
      <c r="W31" s="139"/>
      <c r="X31" s="139"/>
      <c r="Y31" s="139"/>
      <c r="Z31" s="147"/>
      <c r="AA31" s="4">
        <f t="shared" si="15"/>
        <v>0</v>
      </c>
      <c r="AB31" s="4">
        <f t="shared" si="16"/>
        <v>0</v>
      </c>
      <c r="AC31" s="4">
        <f t="shared" si="17"/>
        <v>0</v>
      </c>
      <c r="AD31" s="4">
        <f>IF($AC31=0,"",VLOOKUP($AC31,seznam!$A$2:$C$40,2,FALSE))</f>
      </c>
      <c r="AE31" s="4">
        <f t="shared" si="18"/>
      </c>
      <c r="AF31" s="4">
        <f t="shared" si="19"/>
        <v>0</v>
      </c>
      <c r="AG31" s="4">
        <f t="shared" si="20"/>
        <v>0</v>
      </c>
      <c r="AI31" s="4">
        <f t="shared" si="14"/>
        <v>0</v>
      </c>
      <c r="AJ31" s="4">
        <f t="shared" si="14"/>
        <v>0</v>
      </c>
      <c r="AK31" s="4">
        <f t="shared" si="14"/>
        <v>0</v>
      </c>
      <c r="AL31" s="4">
        <f t="shared" si="14"/>
        <v>0</v>
      </c>
      <c r="AM31" s="4">
        <f t="shared" si="14"/>
        <v>0</v>
      </c>
    </row>
    <row r="32" spans="13:39" ht="16.5" customHeight="1" thickBot="1">
      <c r="M32" s="200"/>
      <c r="N32" s="4" t="str">
        <f t="shared" si="1"/>
        <v>bye - bye</v>
      </c>
      <c r="O32" s="4" t="str">
        <f>CONCATENATE(B5)</f>
        <v>Dvouhra - Skupina A</v>
      </c>
      <c r="P32" s="4">
        <f t="shared" si="21"/>
        <v>0</v>
      </c>
      <c r="Q32" s="4" t="str">
        <f>IF($P32=0,"bye",VLOOKUP($P32,seznam!$A$2:$C$40,2,FALSE))</f>
        <v>bye</v>
      </c>
      <c r="R32" s="4">
        <f>IF($P32=0,"",VLOOKUP($P32,seznam!$A$2:$D$40,4,FALSE))</f>
      </c>
      <c r="S32" s="4">
        <f>A6</f>
        <v>0</v>
      </c>
      <c r="T32" s="4" t="str">
        <f>IF($S32=0,"bye",VLOOKUP($S32,seznam!$A$2:$C$40,2,FALSE))</f>
        <v>bye</v>
      </c>
      <c r="U32" s="4">
        <f>IF($S32=0,"",VLOOKUP($S32,seznam!$A$2:$D$40,4,FALSE))</f>
      </c>
      <c r="V32" s="148"/>
      <c r="W32" s="149"/>
      <c r="X32" s="149"/>
      <c r="Y32" s="149"/>
      <c r="Z32" s="150"/>
      <c r="AA32" s="4">
        <f t="shared" si="15"/>
        <v>0</v>
      </c>
      <c r="AB32" s="4">
        <f t="shared" si="16"/>
        <v>0</v>
      </c>
      <c r="AC32" s="4">
        <f t="shared" si="17"/>
        <v>0</v>
      </c>
      <c r="AD32" s="4">
        <f>IF($AC32=0,"",VLOOKUP($AC32,seznam!$A$2:$C$40,2,FALSE))</f>
      </c>
      <c r="AE32" s="4">
        <f t="shared" si="18"/>
      </c>
      <c r="AF32" s="4">
        <f t="shared" si="19"/>
        <v>0</v>
      </c>
      <c r="AG32" s="4">
        <f t="shared" si="20"/>
        <v>0</v>
      </c>
      <c r="AI32" s="4">
        <f t="shared" si="14"/>
        <v>0</v>
      </c>
      <c r="AJ32" s="4">
        <f t="shared" si="14"/>
        <v>0</v>
      </c>
      <c r="AK32" s="4">
        <f t="shared" si="14"/>
        <v>0</v>
      </c>
      <c r="AL32" s="4">
        <f t="shared" si="14"/>
        <v>0</v>
      </c>
      <c r="AM32" s="4">
        <f t="shared" si="14"/>
        <v>0</v>
      </c>
    </row>
    <row r="33" ht="16.5" customHeight="1" thickTop="1"/>
    <row r="34" ht="16.5" customHeight="1"/>
    <row r="35" ht="16.5" customHeight="1"/>
    <row r="36" spans="20:24" ht="16.5" customHeight="1">
      <c r="T36" s="62"/>
      <c r="U36" s="132"/>
      <c r="V36" s="143"/>
      <c r="W36" s="143"/>
      <c r="X36" s="143"/>
    </row>
    <row r="37" spans="20:24" ht="16.5" customHeight="1">
      <c r="T37" s="62"/>
      <c r="U37" s="132"/>
      <c r="V37" s="143"/>
      <c r="W37" s="143"/>
      <c r="X37" s="144"/>
    </row>
    <row r="38" spans="20:24" ht="16.5" customHeight="1">
      <c r="T38" s="62"/>
      <c r="U38" s="132"/>
      <c r="V38" s="143"/>
      <c r="W38" s="143"/>
      <c r="X38" s="144"/>
    </row>
    <row r="39" spans="2:24" ht="16.5" customHeight="1">
      <c r="B39" s="100"/>
      <c r="E39" s="100"/>
      <c r="T39" s="62"/>
      <c r="U39" s="132"/>
      <c r="V39" s="143"/>
      <c r="W39" s="143"/>
      <c r="X39" s="144"/>
    </row>
    <row r="40" spans="20:24" ht="16.5" customHeight="1">
      <c r="T40" s="62"/>
      <c r="U40" s="132"/>
      <c r="V40" s="143"/>
      <c r="W40" s="143"/>
      <c r="X40" s="143"/>
    </row>
    <row r="41" spans="20:24" ht="16.5" customHeight="1">
      <c r="T41" s="62"/>
      <c r="U41" s="132"/>
      <c r="V41" s="143"/>
      <c r="W41" s="143"/>
      <c r="X41" s="144"/>
    </row>
    <row r="42" spans="13:27" ht="16.5" customHeight="1">
      <c r="M42" s="100"/>
      <c r="N42" s="100"/>
      <c r="O42" s="100"/>
      <c r="P42" s="100"/>
      <c r="Q42" s="100"/>
      <c r="R42" s="100"/>
      <c r="S42" s="100"/>
      <c r="T42" s="100"/>
      <c r="U42" s="100"/>
      <c r="V42" s="145"/>
      <c r="W42" s="145"/>
      <c r="X42" s="145"/>
      <c r="Y42" s="100"/>
      <c r="Z42" s="100"/>
      <c r="AA42" s="100"/>
    </row>
    <row r="43" spans="2:20" ht="16.5" customHeight="1">
      <c r="B43" s="100"/>
      <c r="T43" s="62"/>
    </row>
    <row r="44" ht="16.5" customHeight="1">
      <c r="T44" s="62"/>
    </row>
    <row r="45" ht="16.5" customHeight="1">
      <c r="T45" s="62"/>
    </row>
    <row r="46" ht="16.5" customHeight="1">
      <c r="T46" s="62"/>
    </row>
    <row r="47" ht="16.5" customHeight="1">
      <c r="T47" s="62"/>
    </row>
    <row r="48" spans="1:20" ht="16.5" customHeight="1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T48" s="62"/>
    </row>
    <row r="49" spans="1:20" ht="16.5" customHeight="1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T49" s="62"/>
    </row>
    <row r="50" spans="1:20" ht="16.5" customHeight="1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T50" s="62"/>
    </row>
    <row r="51" spans="1:27" ht="16.5" customHeight="1">
      <c r="A51" s="3"/>
      <c r="B51" s="3"/>
      <c r="C51" s="5"/>
      <c r="D51" s="3"/>
      <c r="E51" s="3"/>
      <c r="F51" s="3"/>
      <c r="G51" s="3"/>
      <c r="H51" s="3"/>
      <c r="I51" s="7"/>
      <c r="K51" s="99"/>
      <c r="M51" s="100"/>
      <c r="N51" s="100"/>
      <c r="O51" s="100"/>
      <c r="P51" s="100"/>
      <c r="Q51" s="100"/>
      <c r="R51" s="100"/>
      <c r="S51" s="100"/>
      <c r="T51" s="100"/>
      <c r="U51" s="100"/>
      <c r="V51" s="140"/>
      <c r="W51" s="140"/>
      <c r="X51" s="140"/>
      <c r="Y51" s="100"/>
      <c r="Z51" s="100"/>
      <c r="AA51" s="100"/>
    </row>
    <row r="52" spans="1:25" ht="16.5" customHeight="1">
      <c r="A52" s="139"/>
      <c r="B52" s="140"/>
      <c r="C52" s="141"/>
      <c r="D52" s="141"/>
      <c r="E52" s="141"/>
      <c r="F52" s="141"/>
      <c r="G52" s="141"/>
      <c r="H52" s="141"/>
      <c r="I52" s="141"/>
      <c r="J52" s="141"/>
      <c r="T52" s="62"/>
      <c r="U52" s="132"/>
      <c r="V52" s="143"/>
      <c r="W52" s="143"/>
      <c r="X52" s="143"/>
      <c r="Y52" s="145"/>
    </row>
    <row r="53" spans="1:25" ht="16.5" customHeight="1">
      <c r="A53" s="142"/>
      <c r="B53" s="142"/>
      <c r="C53" s="141"/>
      <c r="D53" s="141"/>
      <c r="E53" s="141"/>
      <c r="F53" s="141"/>
      <c r="G53" s="141"/>
      <c r="H53" s="141"/>
      <c r="I53" s="141"/>
      <c r="J53" s="141"/>
      <c r="T53" s="62"/>
      <c r="U53" s="132"/>
      <c r="V53" s="143"/>
      <c r="W53" s="143"/>
      <c r="X53" s="144"/>
      <c r="Y53" s="145"/>
    </row>
    <row r="54" spans="1:25" ht="16.5" customHeight="1">
      <c r="A54" s="142"/>
      <c r="B54" s="142"/>
      <c r="C54" s="141"/>
      <c r="D54" s="141"/>
      <c r="E54" s="141"/>
      <c r="F54" s="141"/>
      <c r="G54" s="141"/>
      <c r="H54" s="141"/>
      <c r="I54" s="141"/>
      <c r="J54" s="141"/>
      <c r="T54" s="62"/>
      <c r="U54" s="132"/>
      <c r="V54" s="143"/>
      <c r="W54" s="143"/>
      <c r="X54" s="144"/>
      <c r="Y54" s="145"/>
    </row>
    <row r="55" spans="1:25" ht="16.5" customHeight="1">
      <c r="A55" s="142"/>
      <c r="B55" s="142"/>
      <c r="C55" s="141"/>
      <c r="D55" s="141"/>
      <c r="E55" s="141"/>
      <c r="F55" s="141"/>
      <c r="G55" s="141"/>
      <c r="H55" s="141"/>
      <c r="I55" s="141"/>
      <c r="J55" s="141"/>
      <c r="T55" s="62"/>
      <c r="U55" s="132"/>
      <c r="V55" s="143"/>
      <c r="W55" s="143"/>
      <c r="X55" s="144"/>
      <c r="Y55" s="145"/>
    </row>
    <row r="56" spans="1:25" ht="16.5" customHeight="1">
      <c r="A56" s="142"/>
      <c r="B56" s="142"/>
      <c r="C56" s="141"/>
      <c r="D56" s="141"/>
      <c r="E56" s="141"/>
      <c r="F56" s="141"/>
      <c r="G56" s="141"/>
      <c r="H56" s="141"/>
      <c r="I56" s="141"/>
      <c r="J56" s="141"/>
      <c r="T56" s="62"/>
      <c r="U56" s="132"/>
      <c r="V56" s="143"/>
      <c r="W56" s="143"/>
      <c r="X56" s="144"/>
      <c r="Y56" s="145"/>
    </row>
    <row r="57" spans="1:25" ht="16.5" customHeight="1">
      <c r="A57" s="142"/>
      <c r="B57" s="142"/>
      <c r="C57" s="141"/>
      <c r="D57" s="141"/>
      <c r="E57" s="141"/>
      <c r="F57" s="141"/>
      <c r="G57" s="141"/>
      <c r="H57" s="141"/>
      <c r="I57" s="141"/>
      <c r="J57" s="141"/>
      <c r="T57" s="62"/>
      <c r="U57" s="132"/>
      <c r="V57" s="143"/>
      <c r="W57" s="143"/>
      <c r="X57" s="144"/>
      <c r="Y57" s="145"/>
    </row>
    <row r="58" spans="1:25" ht="16.5" customHeight="1">
      <c r="A58" s="142"/>
      <c r="B58" s="142"/>
      <c r="C58" s="141"/>
      <c r="D58" s="141"/>
      <c r="E58" s="141"/>
      <c r="F58" s="141"/>
      <c r="G58" s="141"/>
      <c r="H58" s="141"/>
      <c r="I58" s="141"/>
      <c r="J58" s="141"/>
      <c r="T58" s="62"/>
      <c r="U58" s="132"/>
      <c r="V58" s="143"/>
      <c r="W58" s="143"/>
      <c r="X58" s="143"/>
      <c r="Y58" s="145"/>
    </row>
    <row r="59" spans="1:25" ht="16.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99"/>
      <c r="T59" s="62"/>
      <c r="U59" s="132"/>
      <c r="V59" s="143"/>
      <c r="W59" s="143"/>
      <c r="X59" s="144"/>
      <c r="Y59" s="145"/>
    </row>
    <row r="60" spans="2:25" ht="16.5" customHeight="1">
      <c r="B60" s="100"/>
      <c r="E60" s="100"/>
      <c r="T60" s="62"/>
      <c r="U60" s="132"/>
      <c r="V60" s="143"/>
      <c r="W60" s="143"/>
      <c r="X60" s="143"/>
      <c r="Y60" s="145"/>
    </row>
    <row r="61" spans="20:25" ht="16.5" customHeight="1">
      <c r="T61" s="62"/>
      <c r="U61" s="132"/>
      <c r="V61" s="143"/>
      <c r="W61" s="143"/>
      <c r="X61" s="143"/>
      <c r="Y61" s="145"/>
    </row>
    <row r="62" spans="20:25" ht="16.5" customHeight="1">
      <c r="T62" s="62"/>
      <c r="U62" s="132"/>
      <c r="V62" s="143"/>
      <c r="W62" s="143"/>
      <c r="X62" s="144"/>
      <c r="Y62" s="145"/>
    </row>
    <row r="63" spans="20:25" ht="16.5" customHeight="1">
      <c r="T63" s="62"/>
      <c r="U63" s="132"/>
      <c r="V63" s="143"/>
      <c r="W63" s="143"/>
      <c r="X63" s="144"/>
      <c r="Y63" s="145"/>
    </row>
    <row r="64" spans="2:25" ht="16.5" customHeight="1">
      <c r="B64" s="100"/>
      <c r="E64" s="100"/>
      <c r="T64" s="62"/>
      <c r="U64" s="132"/>
      <c r="V64" s="143"/>
      <c r="W64" s="143"/>
      <c r="X64" s="144"/>
      <c r="Y64" s="145"/>
    </row>
    <row r="65" spans="20:25" ht="16.5" customHeight="1">
      <c r="T65" s="62"/>
      <c r="U65" s="132"/>
      <c r="V65" s="143"/>
      <c r="W65" s="143"/>
      <c r="X65" s="144"/>
      <c r="Y65" s="145"/>
    </row>
    <row r="66" spans="20:25" ht="16.5" customHeight="1">
      <c r="T66" s="62"/>
      <c r="U66" s="132"/>
      <c r="V66" s="143"/>
      <c r="W66" s="143"/>
      <c r="X66" s="143"/>
      <c r="Y66" s="145"/>
    </row>
    <row r="67" spans="13:27" ht="16.5" customHeight="1">
      <c r="M67" s="100"/>
      <c r="N67" s="100"/>
      <c r="O67" s="100"/>
      <c r="P67" s="100"/>
      <c r="Q67" s="100"/>
      <c r="R67" s="100"/>
      <c r="S67" s="100"/>
      <c r="T67" s="100"/>
      <c r="U67" s="100"/>
      <c r="Y67" s="100"/>
      <c r="Z67" s="100"/>
      <c r="AA67" s="100"/>
    </row>
    <row r="68" spans="2:20" ht="16.5" customHeight="1">
      <c r="B68" s="100"/>
      <c r="T68" s="62"/>
    </row>
    <row r="69" ht="16.5" customHeight="1">
      <c r="T69" s="62"/>
    </row>
    <row r="70" ht="16.5" customHeight="1">
      <c r="T70" s="62"/>
    </row>
    <row r="71" ht="16.5" customHeight="1">
      <c r="T71" s="62"/>
    </row>
    <row r="72" ht="16.5" customHeight="1"/>
    <row r="73" spans="1:27" ht="16.5" customHeight="1">
      <c r="A73" s="3"/>
      <c r="B73" s="3"/>
      <c r="C73" s="5"/>
      <c r="D73" s="3"/>
      <c r="E73" s="3"/>
      <c r="F73" s="3"/>
      <c r="G73" s="3"/>
      <c r="H73" s="3"/>
      <c r="I73" s="7"/>
      <c r="K73" s="99"/>
      <c r="M73" s="100"/>
      <c r="N73" s="100"/>
      <c r="O73" s="100"/>
      <c r="P73" s="100"/>
      <c r="Q73" s="100"/>
      <c r="R73" s="100"/>
      <c r="S73" s="100"/>
      <c r="T73" s="100"/>
      <c r="U73" s="100"/>
      <c r="V73" s="140"/>
      <c r="W73" s="140"/>
      <c r="X73" s="140"/>
      <c r="Y73" s="100"/>
      <c r="Z73" s="100"/>
      <c r="AA73" s="100"/>
    </row>
    <row r="74" spans="1:24" ht="16.5" customHeight="1">
      <c r="A74" s="139"/>
      <c r="B74" s="140"/>
      <c r="C74" s="141"/>
      <c r="D74" s="141"/>
      <c r="E74" s="141"/>
      <c r="F74" s="141"/>
      <c r="G74" s="141"/>
      <c r="H74" s="141"/>
      <c r="I74" s="141"/>
      <c r="J74" s="141"/>
      <c r="T74" s="62"/>
      <c r="U74" s="132"/>
      <c r="V74" s="143"/>
      <c r="W74" s="143"/>
      <c r="X74" s="143"/>
    </row>
    <row r="75" spans="1:24" ht="16.5" customHeight="1">
      <c r="A75" s="142"/>
      <c r="B75" s="142"/>
      <c r="C75" s="141"/>
      <c r="D75" s="141"/>
      <c r="E75" s="141"/>
      <c r="F75" s="141"/>
      <c r="G75" s="141"/>
      <c r="H75" s="141"/>
      <c r="I75" s="141"/>
      <c r="J75" s="141"/>
      <c r="T75" s="62"/>
      <c r="U75" s="132"/>
      <c r="V75" s="143"/>
      <c r="W75" s="143"/>
      <c r="X75" s="144"/>
    </row>
    <row r="76" spans="1:24" ht="16.5" customHeight="1">
      <c r="A76" s="142"/>
      <c r="B76" s="142"/>
      <c r="C76" s="141"/>
      <c r="D76" s="141"/>
      <c r="E76" s="141"/>
      <c r="F76" s="141"/>
      <c r="G76" s="141"/>
      <c r="H76" s="141"/>
      <c r="I76" s="141"/>
      <c r="J76" s="141"/>
      <c r="T76" s="62"/>
      <c r="U76" s="132"/>
      <c r="V76" s="143"/>
      <c r="W76" s="143"/>
      <c r="X76" s="143"/>
    </row>
    <row r="77" spans="1:24" ht="16.5" customHeight="1">
      <c r="A77" s="142"/>
      <c r="B77" s="142"/>
      <c r="C77" s="141"/>
      <c r="D77" s="141"/>
      <c r="E77" s="141"/>
      <c r="F77" s="141"/>
      <c r="G77" s="141"/>
      <c r="H77" s="141"/>
      <c r="I77" s="141"/>
      <c r="J77" s="141"/>
      <c r="T77" s="62"/>
      <c r="U77" s="132"/>
      <c r="V77" s="143"/>
      <c r="W77" s="143"/>
      <c r="X77" s="143"/>
    </row>
    <row r="78" spans="1:24" ht="16.5" customHeight="1">
      <c r="A78" s="142"/>
      <c r="B78" s="142"/>
      <c r="C78" s="141"/>
      <c r="D78" s="141"/>
      <c r="E78" s="141"/>
      <c r="F78" s="141"/>
      <c r="G78" s="141"/>
      <c r="H78" s="141"/>
      <c r="I78" s="141"/>
      <c r="J78" s="141"/>
      <c r="T78" s="62"/>
      <c r="U78" s="132"/>
      <c r="V78" s="143"/>
      <c r="W78" s="143"/>
      <c r="X78" s="144"/>
    </row>
    <row r="79" spans="1:24" ht="16.5" customHeight="1">
      <c r="A79" s="142"/>
      <c r="B79" s="142"/>
      <c r="C79" s="141"/>
      <c r="D79" s="141"/>
      <c r="E79" s="141"/>
      <c r="F79" s="141"/>
      <c r="G79" s="141"/>
      <c r="H79" s="141"/>
      <c r="I79" s="141"/>
      <c r="J79" s="141"/>
      <c r="T79" s="62"/>
      <c r="U79" s="132"/>
      <c r="V79" s="143"/>
      <c r="W79" s="143"/>
      <c r="X79" s="144"/>
    </row>
    <row r="80" spans="1:24" ht="16.5" customHeight="1">
      <c r="A80" s="142"/>
      <c r="B80" s="142"/>
      <c r="C80" s="141"/>
      <c r="D80" s="141"/>
      <c r="E80" s="141"/>
      <c r="F80" s="141"/>
      <c r="G80" s="141"/>
      <c r="H80" s="141"/>
      <c r="I80" s="141"/>
      <c r="J80" s="141"/>
      <c r="T80" s="62"/>
      <c r="U80" s="132"/>
      <c r="V80" s="143"/>
      <c r="W80" s="143"/>
      <c r="X80" s="144"/>
    </row>
    <row r="81" spans="11:24" ht="16.5" customHeight="1">
      <c r="K81" s="99"/>
      <c r="T81" s="62"/>
      <c r="U81" s="132"/>
      <c r="V81" s="143"/>
      <c r="W81" s="143"/>
      <c r="X81" s="144"/>
    </row>
    <row r="82" spans="2:24" ht="16.5" customHeight="1">
      <c r="B82" s="100"/>
      <c r="E82" s="100"/>
      <c r="T82" s="62"/>
      <c r="U82" s="132"/>
      <c r="V82" s="143"/>
      <c r="W82" s="143"/>
      <c r="X82" s="144"/>
    </row>
    <row r="83" spans="20:24" ht="16.5" customHeight="1">
      <c r="T83" s="62"/>
      <c r="U83" s="132"/>
      <c r="V83" s="143"/>
      <c r="W83" s="143"/>
      <c r="X83" s="144"/>
    </row>
    <row r="84" spans="20:24" ht="16.5" customHeight="1">
      <c r="T84" s="62"/>
      <c r="U84" s="132"/>
      <c r="V84" s="143"/>
      <c r="W84" s="143"/>
      <c r="X84" s="144"/>
    </row>
    <row r="85" spans="20:24" ht="16.5" customHeight="1">
      <c r="T85" s="62"/>
      <c r="U85" s="132"/>
      <c r="V85" s="143"/>
      <c r="W85" s="143"/>
      <c r="X85" s="143"/>
    </row>
    <row r="86" spans="2:24" ht="16.5" customHeight="1">
      <c r="B86" s="100"/>
      <c r="E86" s="100"/>
      <c r="T86" s="62"/>
      <c r="U86" s="132"/>
      <c r="V86" s="143"/>
      <c r="W86" s="143"/>
      <c r="X86" s="144"/>
    </row>
    <row r="87" spans="20:24" ht="16.5" customHeight="1">
      <c r="T87" s="62"/>
      <c r="U87" s="132"/>
      <c r="V87" s="143"/>
      <c r="W87" s="143"/>
      <c r="X87" s="143"/>
    </row>
    <row r="88" spans="20:24" ht="16.5" customHeight="1">
      <c r="T88" s="62"/>
      <c r="U88" s="132"/>
      <c r="V88" s="143"/>
      <c r="W88" s="143"/>
      <c r="X88" s="144"/>
    </row>
    <row r="89" spans="13:27" ht="16.5" customHeight="1">
      <c r="M89" s="100"/>
      <c r="N89" s="100"/>
      <c r="O89" s="100"/>
      <c r="P89" s="100"/>
      <c r="Q89" s="100"/>
      <c r="R89" s="100"/>
      <c r="S89" s="100"/>
      <c r="T89" s="100"/>
      <c r="U89" s="100"/>
      <c r="Y89" s="100"/>
      <c r="Z89" s="100"/>
      <c r="AA89" s="100"/>
    </row>
    <row r="90" spans="2:20" ht="16.5" customHeight="1">
      <c r="B90" s="100"/>
      <c r="T90" s="62"/>
    </row>
    <row r="91" ht="16.5" customHeight="1">
      <c r="T91" s="62"/>
    </row>
    <row r="92" ht="16.5" customHeight="1">
      <c r="T92" s="62"/>
    </row>
    <row r="93" ht="16.5" customHeight="1">
      <c r="T93" s="62"/>
    </row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</sheetData>
  <sheetProtection/>
  <mergeCells count="3">
    <mergeCell ref="A49:J49"/>
    <mergeCell ref="A50:J50"/>
    <mergeCell ref="A48:J48"/>
  </mergeCells>
  <printOptions/>
  <pageMargins left="0.5905511811023623" right="0.5905511811023623" top="0.31496062992125984" bottom="0.2755905511811024" header="0.5118110236220472" footer="0.2755905511811024"/>
  <pageSetup horizontalDpi="300" verticalDpi="300" orientation="landscape" paperSize="9" scale="90" r:id="rId2"/>
  <rowBreaks count="1" manualBreakCount="1">
    <brk id="4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SheetLayoutView="100" zoomScalePageLayoutView="0" workbookViewId="0" topLeftCell="A31">
      <selection activeCell="S49" sqref="S49:V54"/>
    </sheetView>
  </sheetViews>
  <sheetFormatPr defaultColWidth="9.00390625" defaultRowHeight="15" customHeight="1"/>
  <cols>
    <col min="1" max="1" width="3.375" style="4" customWidth="1"/>
    <col min="2" max="2" width="31.125" style="4" bestFit="1" customWidth="1"/>
    <col min="3" max="8" width="5.00390625" style="4" customWidth="1"/>
    <col min="9" max="9" width="1.625" style="4" customWidth="1"/>
    <col min="10" max="10" width="30.875" style="4" bestFit="1" customWidth="1"/>
    <col min="11" max="11" width="18.75390625" style="4" bestFit="1" customWidth="1"/>
    <col min="12" max="16384" width="9.125" style="4" customWidth="1"/>
  </cols>
  <sheetData>
    <row r="1" spans="1:11" ht="20.25">
      <c r="A1" s="3"/>
      <c r="B1" s="2"/>
      <c r="C1" s="3"/>
      <c r="D1" s="3"/>
      <c r="E1" s="3"/>
      <c r="F1" s="3"/>
      <c r="G1" s="3"/>
      <c r="K1" s="54" t="s">
        <v>180</v>
      </c>
    </row>
    <row r="2" spans="1:11" ht="20.25">
      <c r="A2" s="3"/>
      <c r="B2" s="5"/>
      <c r="C2" s="3"/>
      <c r="D2" s="3"/>
      <c r="E2" s="3"/>
      <c r="F2" s="3"/>
      <c r="G2" s="6"/>
      <c r="K2" s="97">
        <v>41336</v>
      </c>
    </row>
    <row r="3" spans="1:11" ht="15" customHeight="1" thickBot="1">
      <c r="A3" s="3"/>
      <c r="B3" s="3"/>
      <c r="C3" s="5"/>
      <c r="D3" s="3"/>
      <c r="E3" s="3"/>
      <c r="F3" s="3"/>
      <c r="G3" s="7"/>
      <c r="K3" s="8"/>
    </row>
    <row r="4" spans="1:11" ht="16.5" customHeight="1" thickBot="1" thickTop="1">
      <c r="A4" s="11"/>
      <c r="B4" s="12" t="s">
        <v>14</v>
      </c>
      <c r="C4" s="13">
        <v>1</v>
      </c>
      <c r="D4" s="14">
        <v>2</v>
      </c>
      <c r="E4" s="14">
        <v>3</v>
      </c>
      <c r="F4" s="15">
        <v>4</v>
      </c>
      <c r="G4" s="16" t="s">
        <v>15</v>
      </c>
      <c r="H4" s="15" t="s">
        <v>16</v>
      </c>
      <c r="J4" s="4" t="s">
        <v>181</v>
      </c>
      <c r="K4" s="4" t="s">
        <v>124</v>
      </c>
    </row>
    <row r="5" spans="1:11" ht="16.5" customHeight="1" thickTop="1">
      <c r="A5" s="239">
        <v>1</v>
      </c>
      <c r="B5" s="20" t="s">
        <v>122</v>
      </c>
      <c r="C5" s="21" t="s">
        <v>17</v>
      </c>
      <c r="D5" s="22" t="s">
        <v>182</v>
      </c>
      <c r="E5" s="22" t="s">
        <v>182</v>
      </c>
      <c r="F5" s="23" t="s">
        <v>124</v>
      </c>
      <c r="G5" s="24">
        <v>4</v>
      </c>
      <c r="H5" s="23">
        <v>1</v>
      </c>
      <c r="J5" s="4" t="s">
        <v>183</v>
      </c>
      <c r="K5" s="4" t="s">
        <v>184</v>
      </c>
    </row>
    <row r="6" spans="1:11" ht="16.5" customHeight="1">
      <c r="A6" s="240">
        <v>21</v>
      </c>
      <c r="B6" s="28" t="s">
        <v>170</v>
      </c>
      <c r="C6" s="29" t="s">
        <v>185</v>
      </c>
      <c r="D6" s="30" t="s">
        <v>17</v>
      </c>
      <c r="E6" s="30" t="s">
        <v>186</v>
      </c>
      <c r="F6" s="31" t="s">
        <v>124</v>
      </c>
      <c r="G6" s="32">
        <v>3</v>
      </c>
      <c r="H6" s="31">
        <v>2</v>
      </c>
      <c r="J6" s="4" t="s">
        <v>187</v>
      </c>
      <c r="K6" s="4" t="s">
        <v>124</v>
      </c>
    </row>
    <row r="7" spans="1:11" ht="16.5" customHeight="1">
      <c r="A7" s="240">
        <v>20</v>
      </c>
      <c r="B7" s="28" t="s">
        <v>169</v>
      </c>
      <c r="C7" s="29" t="s">
        <v>185</v>
      </c>
      <c r="D7" s="30" t="s">
        <v>188</v>
      </c>
      <c r="E7" s="30" t="s">
        <v>17</v>
      </c>
      <c r="F7" s="31" t="s">
        <v>124</v>
      </c>
      <c r="G7" s="32">
        <v>2</v>
      </c>
      <c r="H7" s="31">
        <v>3</v>
      </c>
      <c r="J7" s="4" t="s">
        <v>189</v>
      </c>
      <c r="K7" s="4" t="s">
        <v>190</v>
      </c>
    </row>
    <row r="8" spans="1:11" ht="16.5" customHeight="1" thickBot="1">
      <c r="A8" s="241"/>
      <c r="B8" s="33" t="s">
        <v>124</v>
      </c>
      <c r="C8" s="34" t="s">
        <v>124</v>
      </c>
      <c r="D8" s="35" t="s">
        <v>124</v>
      </c>
      <c r="E8" s="35" t="s">
        <v>124</v>
      </c>
      <c r="F8" s="36" t="s">
        <v>17</v>
      </c>
      <c r="G8" s="37" t="s">
        <v>124</v>
      </c>
      <c r="H8" s="36"/>
      <c r="J8" s="4" t="s">
        <v>191</v>
      </c>
      <c r="K8" s="4" t="s">
        <v>124</v>
      </c>
    </row>
    <row r="9" spans="10:11" ht="16.5" customHeight="1" thickTop="1">
      <c r="J9" s="4" t="s">
        <v>192</v>
      </c>
      <c r="K9" s="4" t="s">
        <v>193</v>
      </c>
    </row>
    <row r="10" ht="16.5" customHeight="1" thickBot="1"/>
    <row r="11" spans="1:11" ht="16.5" customHeight="1" thickBot="1" thickTop="1">
      <c r="A11" s="11"/>
      <c r="B11" s="12" t="s">
        <v>18</v>
      </c>
      <c r="C11" s="13">
        <v>1</v>
      </c>
      <c r="D11" s="14">
        <v>2</v>
      </c>
      <c r="E11" s="14">
        <v>3</v>
      </c>
      <c r="F11" s="15">
        <v>4</v>
      </c>
      <c r="G11" s="16" t="s">
        <v>15</v>
      </c>
      <c r="H11" s="15" t="s">
        <v>16</v>
      </c>
      <c r="J11" s="4" t="s">
        <v>194</v>
      </c>
      <c r="K11" s="4" t="s">
        <v>195</v>
      </c>
    </row>
    <row r="12" spans="1:11" ht="16.5" customHeight="1" thickTop="1">
      <c r="A12" s="239">
        <v>2</v>
      </c>
      <c r="B12" s="20" t="s">
        <v>123</v>
      </c>
      <c r="C12" s="21" t="s">
        <v>17</v>
      </c>
      <c r="D12" s="22" t="s">
        <v>182</v>
      </c>
      <c r="E12" s="22" t="s">
        <v>182</v>
      </c>
      <c r="F12" s="23" t="s">
        <v>182</v>
      </c>
      <c r="G12" s="24">
        <v>6</v>
      </c>
      <c r="H12" s="23">
        <v>1</v>
      </c>
      <c r="J12" s="4" t="s">
        <v>196</v>
      </c>
      <c r="K12" s="4" t="s">
        <v>197</v>
      </c>
    </row>
    <row r="13" spans="1:11" ht="16.5" customHeight="1">
      <c r="A13" s="240">
        <v>23</v>
      </c>
      <c r="B13" s="28" t="s">
        <v>142</v>
      </c>
      <c r="C13" s="29" t="s">
        <v>185</v>
      </c>
      <c r="D13" s="30" t="s">
        <v>17</v>
      </c>
      <c r="E13" s="30" t="s">
        <v>198</v>
      </c>
      <c r="F13" s="31" t="s">
        <v>182</v>
      </c>
      <c r="G13" s="32">
        <v>5</v>
      </c>
      <c r="H13" s="31">
        <v>2</v>
      </c>
      <c r="J13" s="4" t="s">
        <v>199</v>
      </c>
      <c r="K13" s="4" t="s">
        <v>200</v>
      </c>
    </row>
    <row r="14" spans="1:11" ht="16.5" customHeight="1">
      <c r="A14" s="240">
        <v>19</v>
      </c>
      <c r="B14" s="28" t="s">
        <v>171</v>
      </c>
      <c r="C14" s="29" t="s">
        <v>185</v>
      </c>
      <c r="D14" s="30" t="s">
        <v>201</v>
      </c>
      <c r="E14" s="30" t="s">
        <v>17</v>
      </c>
      <c r="F14" s="31" t="s">
        <v>186</v>
      </c>
      <c r="G14" s="32">
        <v>4</v>
      </c>
      <c r="H14" s="31">
        <v>3</v>
      </c>
      <c r="J14" s="4" t="s">
        <v>202</v>
      </c>
      <c r="K14" s="4" t="s">
        <v>203</v>
      </c>
    </row>
    <row r="15" spans="1:11" ht="16.5" customHeight="1" thickBot="1">
      <c r="A15" s="241">
        <v>39</v>
      </c>
      <c r="B15" s="33" t="s">
        <v>175</v>
      </c>
      <c r="C15" s="34" t="s">
        <v>185</v>
      </c>
      <c r="D15" s="35" t="s">
        <v>185</v>
      </c>
      <c r="E15" s="35" t="s">
        <v>188</v>
      </c>
      <c r="F15" s="36" t="s">
        <v>17</v>
      </c>
      <c r="G15" s="37">
        <v>3</v>
      </c>
      <c r="H15" s="36">
        <v>4</v>
      </c>
      <c r="J15" s="4" t="s">
        <v>204</v>
      </c>
      <c r="K15" s="4" t="s">
        <v>205</v>
      </c>
    </row>
    <row r="16" spans="10:11" ht="16.5" customHeight="1" thickTop="1">
      <c r="J16" s="4" t="s">
        <v>206</v>
      </c>
      <c r="K16" s="4" t="s">
        <v>207</v>
      </c>
    </row>
    <row r="17" ht="16.5" customHeight="1" thickBot="1"/>
    <row r="18" spans="1:11" ht="16.5" customHeight="1" thickBot="1" thickTop="1">
      <c r="A18" s="11"/>
      <c r="B18" s="12" t="s">
        <v>19</v>
      </c>
      <c r="C18" s="13">
        <v>1</v>
      </c>
      <c r="D18" s="14">
        <v>2</v>
      </c>
      <c r="E18" s="14">
        <v>3</v>
      </c>
      <c r="F18" s="15">
        <v>4</v>
      </c>
      <c r="G18" s="16" t="s">
        <v>15</v>
      </c>
      <c r="H18" s="15" t="s">
        <v>16</v>
      </c>
      <c r="J18" s="4" t="s">
        <v>208</v>
      </c>
      <c r="K18" s="4" t="s">
        <v>209</v>
      </c>
    </row>
    <row r="19" spans="1:11" ht="16.5" customHeight="1" thickTop="1">
      <c r="A19" s="239">
        <v>3</v>
      </c>
      <c r="B19" s="20" t="s">
        <v>178</v>
      </c>
      <c r="C19" s="21" t="s">
        <v>17</v>
      </c>
      <c r="D19" s="22" t="s">
        <v>182</v>
      </c>
      <c r="E19" s="22" t="s">
        <v>182</v>
      </c>
      <c r="F19" s="23" t="s">
        <v>182</v>
      </c>
      <c r="G19" s="24">
        <v>6</v>
      </c>
      <c r="H19" s="23">
        <v>1</v>
      </c>
      <c r="J19" s="4" t="s">
        <v>210</v>
      </c>
      <c r="K19" s="4" t="s">
        <v>211</v>
      </c>
    </row>
    <row r="20" spans="1:11" ht="16.5" customHeight="1">
      <c r="A20" s="240">
        <v>22</v>
      </c>
      <c r="B20" s="28" t="s">
        <v>144</v>
      </c>
      <c r="C20" s="29" t="s">
        <v>185</v>
      </c>
      <c r="D20" s="30" t="s">
        <v>17</v>
      </c>
      <c r="E20" s="30" t="s">
        <v>182</v>
      </c>
      <c r="F20" s="31" t="s">
        <v>182</v>
      </c>
      <c r="G20" s="32">
        <v>5</v>
      </c>
      <c r="H20" s="31">
        <v>2</v>
      </c>
      <c r="J20" s="4" t="s">
        <v>212</v>
      </c>
      <c r="K20" s="4" t="s">
        <v>213</v>
      </c>
    </row>
    <row r="21" spans="1:11" ht="16.5" customHeight="1">
      <c r="A21" s="240">
        <v>18</v>
      </c>
      <c r="B21" s="28" t="s">
        <v>139</v>
      </c>
      <c r="C21" s="29" t="s">
        <v>185</v>
      </c>
      <c r="D21" s="30" t="s">
        <v>185</v>
      </c>
      <c r="E21" s="30" t="s">
        <v>17</v>
      </c>
      <c r="F21" s="31" t="s">
        <v>185</v>
      </c>
      <c r="G21" s="32">
        <v>3</v>
      </c>
      <c r="H21" s="31">
        <v>4</v>
      </c>
      <c r="J21" s="4" t="s">
        <v>214</v>
      </c>
      <c r="K21" s="4" t="s">
        <v>215</v>
      </c>
    </row>
    <row r="22" spans="1:11" ht="16.5" customHeight="1" thickBot="1">
      <c r="A22" s="241">
        <v>38</v>
      </c>
      <c r="B22" s="33" t="s">
        <v>130</v>
      </c>
      <c r="C22" s="34" t="s">
        <v>185</v>
      </c>
      <c r="D22" s="35" t="s">
        <v>185</v>
      </c>
      <c r="E22" s="35" t="s">
        <v>182</v>
      </c>
      <c r="F22" s="36" t="s">
        <v>17</v>
      </c>
      <c r="G22" s="37">
        <v>4</v>
      </c>
      <c r="H22" s="36">
        <v>3</v>
      </c>
      <c r="J22" s="4" t="s">
        <v>216</v>
      </c>
      <c r="K22" s="4" t="s">
        <v>217</v>
      </c>
    </row>
    <row r="23" spans="10:11" ht="16.5" customHeight="1" thickTop="1">
      <c r="J23" s="4" t="s">
        <v>218</v>
      </c>
      <c r="K23" s="4" t="s">
        <v>219</v>
      </c>
    </row>
    <row r="24" ht="16.5" customHeight="1" thickBot="1"/>
    <row r="25" spans="1:11" ht="16.5" customHeight="1" thickBot="1" thickTop="1">
      <c r="A25" s="11"/>
      <c r="B25" s="12" t="s">
        <v>20</v>
      </c>
      <c r="C25" s="13">
        <v>1</v>
      </c>
      <c r="D25" s="14">
        <v>2</v>
      </c>
      <c r="E25" s="14">
        <v>3</v>
      </c>
      <c r="F25" s="15">
        <v>4</v>
      </c>
      <c r="G25" s="16" t="s">
        <v>15</v>
      </c>
      <c r="H25" s="15" t="s">
        <v>16</v>
      </c>
      <c r="J25" s="4" t="s">
        <v>220</v>
      </c>
      <c r="K25" s="4" t="s">
        <v>221</v>
      </c>
    </row>
    <row r="26" spans="1:11" ht="16.5" customHeight="1" thickTop="1">
      <c r="A26" s="239">
        <v>4</v>
      </c>
      <c r="B26" s="20" t="s">
        <v>179</v>
      </c>
      <c r="C26" s="21" t="s">
        <v>17</v>
      </c>
      <c r="D26" s="22" t="s">
        <v>182</v>
      </c>
      <c r="E26" s="22" t="s">
        <v>182</v>
      </c>
      <c r="F26" s="23" t="s">
        <v>182</v>
      </c>
      <c r="G26" s="24">
        <v>6</v>
      </c>
      <c r="H26" s="23">
        <v>1</v>
      </c>
      <c r="J26" s="4" t="s">
        <v>222</v>
      </c>
      <c r="K26" s="4" t="s">
        <v>223</v>
      </c>
    </row>
    <row r="27" spans="1:11" ht="16.5" customHeight="1">
      <c r="A27" s="240">
        <v>24</v>
      </c>
      <c r="B27" s="28" t="s">
        <v>160</v>
      </c>
      <c r="C27" s="29" t="s">
        <v>185</v>
      </c>
      <c r="D27" s="30" t="s">
        <v>17</v>
      </c>
      <c r="E27" s="30" t="s">
        <v>198</v>
      </c>
      <c r="F27" s="31" t="s">
        <v>182</v>
      </c>
      <c r="G27" s="32">
        <v>5</v>
      </c>
      <c r="H27" s="31">
        <v>2</v>
      </c>
      <c r="J27" s="4" t="s">
        <v>224</v>
      </c>
      <c r="K27" s="4" t="s">
        <v>225</v>
      </c>
    </row>
    <row r="28" spans="1:11" ht="16.5" customHeight="1">
      <c r="A28" s="240">
        <v>17</v>
      </c>
      <c r="B28" s="28" t="s">
        <v>138</v>
      </c>
      <c r="C28" s="29" t="s">
        <v>185</v>
      </c>
      <c r="D28" s="30" t="s">
        <v>201</v>
      </c>
      <c r="E28" s="30" t="s">
        <v>17</v>
      </c>
      <c r="F28" s="31" t="s">
        <v>182</v>
      </c>
      <c r="G28" s="32">
        <v>4</v>
      </c>
      <c r="H28" s="31">
        <v>3</v>
      </c>
      <c r="J28" s="4" t="s">
        <v>226</v>
      </c>
      <c r="K28" s="4" t="s">
        <v>227</v>
      </c>
    </row>
    <row r="29" spans="1:11" ht="16.5" customHeight="1" thickBot="1">
      <c r="A29" s="241">
        <v>37</v>
      </c>
      <c r="B29" s="33" t="s">
        <v>127</v>
      </c>
      <c r="C29" s="34" t="s">
        <v>185</v>
      </c>
      <c r="D29" s="35" t="s">
        <v>185</v>
      </c>
      <c r="E29" s="35" t="s">
        <v>185</v>
      </c>
      <c r="F29" s="36" t="s">
        <v>17</v>
      </c>
      <c r="G29" s="37">
        <v>3</v>
      </c>
      <c r="H29" s="36">
        <v>4</v>
      </c>
      <c r="J29" s="4" t="s">
        <v>228</v>
      </c>
      <c r="K29" s="4" t="s">
        <v>229</v>
      </c>
    </row>
    <row r="30" spans="10:11" ht="16.5" customHeight="1" thickTop="1">
      <c r="J30" s="4" t="s">
        <v>230</v>
      </c>
      <c r="K30" s="4" t="s">
        <v>231</v>
      </c>
    </row>
    <row r="31" ht="16.5" customHeight="1" thickBot="1"/>
    <row r="32" spans="1:11" ht="16.5" customHeight="1" thickBot="1" thickTop="1">
      <c r="A32" s="11"/>
      <c r="B32" s="12" t="s">
        <v>21</v>
      </c>
      <c r="C32" s="13">
        <v>1</v>
      </c>
      <c r="D32" s="14">
        <v>2</v>
      </c>
      <c r="E32" s="14">
        <v>3</v>
      </c>
      <c r="F32" s="15">
        <v>4</v>
      </c>
      <c r="G32" s="16" t="s">
        <v>15</v>
      </c>
      <c r="H32" s="15" t="s">
        <v>16</v>
      </c>
      <c r="J32" s="4" t="s">
        <v>232</v>
      </c>
      <c r="K32" s="4" t="s">
        <v>233</v>
      </c>
    </row>
    <row r="33" spans="1:11" ht="16.5" customHeight="1" thickTop="1">
      <c r="A33" s="239">
        <v>5</v>
      </c>
      <c r="B33" s="20" t="s">
        <v>148</v>
      </c>
      <c r="C33" s="21" t="s">
        <v>17</v>
      </c>
      <c r="D33" s="22" t="s">
        <v>182</v>
      </c>
      <c r="E33" s="22" t="s">
        <v>182</v>
      </c>
      <c r="F33" s="23" t="s">
        <v>182</v>
      </c>
      <c r="G33" s="24">
        <v>6</v>
      </c>
      <c r="H33" s="23">
        <v>1</v>
      </c>
      <c r="J33" s="4" t="s">
        <v>234</v>
      </c>
      <c r="K33" s="4" t="s">
        <v>235</v>
      </c>
    </row>
    <row r="34" spans="1:11" ht="16.5" customHeight="1">
      <c r="A34" s="240">
        <v>25</v>
      </c>
      <c r="B34" s="28" t="s">
        <v>129</v>
      </c>
      <c r="C34" s="29" t="s">
        <v>185</v>
      </c>
      <c r="D34" s="30" t="s">
        <v>17</v>
      </c>
      <c r="E34" s="30" t="s">
        <v>185</v>
      </c>
      <c r="F34" s="31" t="s">
        <v>182</v>
      </c>
      <c r="G34" s="32">
        <v>4</v>
      </c>
      <c r="H34" s="31">
        <v>3</v>
      </c>
      <c r="J34" s="4" t="s">
        <v>236</v>
      </c>
      <c r="K34" s="4" t="s">
        <v>193</v>
      </c>
    </row>
    <row r="35" spans="1:11" ht="16.5" customHeight="1">
      <c r="A35" s="240">
        <v>16</v>
      </c>
      <c r="B35" s="28" t="s">
        <v>132</v>
      </c>
      <c r="C35" s="29" t="s">
        <v>185</v>
      </c>
      <c r="D35" s="30" t="s">
        <v>182</v>
      </c>
      <c r="E35" s="30" t="s">
        <v>17</v>
      </c>
      <c r="F35" s="31" t="s">
        <v>182</v>
      </c>
      <c r="G35" s="32">
        <v>5</v>
      </c>
      <c r="H35" s="31">
        <v>2</v>
      </c>
      <c r="J35" s="4" t="s">
        <v>237</v>
      </c>
      <c r="K35" s="4" t="s">
        <v>238</v>
      </c>
    </row>
    <row r="36" spans="1:11" ht="16.5" customHeight="1" thickBot="1">
      <c r="A36" s="241">
        <v>36</v>
      </c>
      <c r="B36" s="33" t="s">
        <v>126</v>
      </c>
      <c r="C36" s="34" t="s">
        <v>185</v>
      </c>
      <c r="D36" s="35" t="s">
        <v>185</v>
      </c>
      <c r="E36" s="35" t="s">
        <v>185</v>
      </c>
      <c r="F36" s="36" t="s">
        <v>17</v>
      </c>
      <c r="G36" s="37">
        <v>3</v>
      </c>
      <c r="H36" s="36">
        <v>4</v>
      </c>
      <c r="J36" s="4" t="s">
        <v>239</v>
      </c>
      <c r="K36" s="4" t="s">
        <v>240</v>
      </c>
    </row>
    <row r="37" spans="10:11" ht="16.5" customHeight="1" thickTop="1">
      <c r="J37" s="4" t="s">
        <v>241</v>
      </c>
      <c r="K37" s="4" t="s">
        <v>242</v>
      </c>
    </row>
    <row r="38" ht="16.5" customHeight="1" thickBot="1"/>
    <row r="39" spans="1:11" ht="16.5" customHeight="1" thickBot="1" thickTop="1">
      <c r="A39" s="11"/>
      <c r="B39" s="12" t="s">
        <v>22</v>
      </c>
      <c r="C39" s="13">
        <v>1</v>
      </c>
      <c r="D39" s="14">
        <v>2</v>
      </c>
      <c r="E39" s="14">
        <v>3</v>
      </c>
      <c r="F39" s="15">
        <v>4</v>
      </c>
      <c r="G39" s="16" t="s">
        <v>15</v>
      </c>
      <c r="H39" s="15" t="s">
        <v>16</v>
      </c>
      <c r="J39" s="4" t="s">
        <v>243</v>
      </c>
      <c r="K39" s="4" t="s">
        <v>244</v>
      </c>
    </row>
    <row r="40" spans="1:11" ht="16.5" customHeight="1" thickTop="1">
      <c r="A40" s="239">
        <v>6</v>
      </c>
      <c r="B40" s="20" t="s">
        <v>150</v>
      </c>
      <c r="C40" s="21" t="s">
        <v>17</v>
      </c>
      <c r="D40" s="22" t="s">
        <v>182</v>
      </c>
      <c r="E40" s="22" t="s">
        <v>182</v>
      </c>
      <c r="F40" s="23" t="s">
        <v>182</v>
      </c>
      <c r="G40" s="24">
        <v>6</v>
      </c>
      <c r="H40" s="23">
        <v>1</v>
      </c>
      <c r="J40" s="4" t="s">
        <v>245</v>
      </c>
      <c r="K40" s="4" t="s">
        <v>246</v>
      </c>
    </row>
    <row r="41" spans="1:11" ht="16.5" customHeight="1">
      <c r="A41" s="240">
        <v>26</v>
      </c>
      <c r="B41" s="28" t="s">
        <v>156</v>
      </c>
      <c r="C41" s="29" t="s">
        <v>185</v>
      </c>
      <c r="D41" s="30" t="s">
        <v>17</v>
      </c>
      <c r="E41" s="30" t="s">
        <v>185</v>
      </c>
      <c r="F41" s="31" t="s">
        <v>185</v>
      </c>
      <c r="G41" s="32">
        <v>3</v>
      </c>
      <c r="H41" s="31">
        <v>4</v>
      </c>
      <c r="J41" s="4" t="s">
        <v>247</v>
      </c>
      <c r="K41" s="4" t="s">
        <v>248</v>
      </c>
    </row>
    <row r="42" spans="1:11" ht="16.5" customHeight="1">
      <c r="A42" s="240">
        <v>15</v>
      </c>
      <c r="B42" s="28" t="s">
        <v>164</v>
      </c>
      <c r="C42" s="29" t="s">
        <v>185</v>
      </c>
      <c r="D42" s="30" t="s">
        <v>182</v>
      </c>
      <c r="E42" s="30" t="s">
        <v>17</v>
      </c>
      <c r="F42" s="31" t="s">
        <v>182</v>
      </c>
      <c r="G42" s="32">
        <v>5</v>
      </c>
      <c r="H42" s="31">
        <v>2</v>
      </c>
      <c r="J42" s="4" t="s">
        <v>249</v>
      </c>
      <c r="K42" s="4" t="s">
        <v>250</v>
      </c>
    </row>
    <row r="43" spans="1:11" ht="16.5" customHeight="1" thickBot="1">
      <c r="A43" s="241">
        <v>34</v>
      </c>
      <c r="B43" s="33" t="s">
        <v>172</v>
      </c>
      <c r="C43" s="34" t="s">
        <v>185</v>
      </c>
      <c r="D43" s="35" t="s">
        <v>182</v>
      </c>
      <c r="E43" s="35" t="s">
        <v>185</v>
      </c>
      <c r="F43" s="36" t="s">
        <v>17</v>
      </c>
      <c r="G43" s="37">
        <v>4</v>
      </c>
      <c r="H43" s="36">
        <v>3</v>
      </c>
      <c r="J43" s="4" t="s">
        <v>251</v>
      </c>
      <c r="K43" s="4" t="s">
        <v>252</v>
      </c>
    </row>
    <row r="44" spans="10:11" ht="16.5" customHeight="1" thickTop="1">
      <c r="J44" s="4" t="s">
        <v>253</v>
      </c>
      <c r="K44" s="4" t="s">
        <v>254</v>
      </c>
    </row>
    <row r="45" ht="16.5" customHeight="1" thickBot="1"/>
    <row r="46" spans="1:11" ht="16.5" customHeight="1" thickBot="1" thickTop="1">
      <c r="A46" s="11"/>
      <c r="B46" s="12" t="s">
        <v>23</v>
      </c>
      <c r="C46" s="13">
        <v>1</v>
      </c>
      <c r="D46" s="14">
        <v>2</v>
      </c>
      <c r="E46" s="14">
        <v>3</v>
      </c>
      <c r="F46" s="15">
        <v>4</v>
      </c>
      <c r="G46" s="16" t="s">
        <v>15</v>
      </c>
      <c r="H46" s="15" t="s">
        <v>16</v>
      </c>
      <c r="J46" s="4" t="s">
        <v>255</v>
      </c>
      <c r="K46" s="4" t="s">
        <v>256</v>
      </c>
    </row>
    <row r="47" spans="1:11" ht="16.5" customHeight="1" thickTop="1">
      <c r="A47" s="239">
        <v>7</v>
      </c>
      <c r="B47" s="20" t="s">
        <v>159</v>
      </c>
      <c r="C47" s="21" t="s">
        <v>17</v>
      </c>
      <c r="D47" s="22" t="s">
        <v>182</v>
      </c>
      <c r="E47" s="22" t="s">
        <v>188</v>
      </c>
      <c r="F47" s="23" t="s">
        <v>182</v>
      </c>
      <c r="G47" s="24">
        <v>5</v>
      </c>
      <c r="H47" s="23">
        <v>2</v>
      </c>
      <c r="J47" s="4" t="s">
        <v>257</v>
      </c>
      <c r="K47" s="4" t="s">
        <v>258</v>
      </c>
    </row>
    <row r="48" spans="1:11" ht="16.5" customHeight="1">
      <c r="A48" s="240">
        <v>28</v>
      </c>
      <c r="B48" s="28" t="s">
        <v>145</v>
      </c>
      <c r="C48" s="29" t="s">
        <v>185</v>
      </c>
      <c r="D48" s="30" t="s">
        <v>17</v>
      </c>
      <c r="E48" s="30" t="s">
        <v>185</v>
      </c>
      <c r="F48" s="31" t="s">
        <v>198</v>
      </c>
      <c r="G48" s="32">
        <v>4</v>
      </c>
      <c r="H48" s="31">
        <v>3</v>
      </c>
      <c r="J48" s="4" t="s">
        <v>259</v>
      </c>
      <c r="K48" s="4" t="s">
        <v>260</v>
      </c>
    </row>
    <row r="49" spans="1:11" ht="16.5" customHeight="1">
      <c r="A49" s="240">
        <v>14</v>
      </c>
      <c r="B49" s="28" t="s">
        <v>166</v>
      </c>
      <c r="C49" s="29" t="s">
        <v>186</v>
      </c>
      <c r="D49" s="30" t="s">
        <v>182</v>
      </c>
      <c r="E49" s="30" t="s">
        <v>17</v>
      </c>
      <c r="F49" s="31" t="s">
        <v>182</v>
      </c>
      <c r="G49" s="32">
        <v>6</v>
      </c>
      <c r="H49" s="31">
        <v>1</v>
      </c>
      <c r="J49" s="4" t="s">
        <v>261</v>
      </c>
      <c r="K49" s="4" t="s">
        <v>262</v>
      </c>
    </row>
    <row r="50" spans="1:11" ht="16.5" customHeight="1" thickBot="1">
      <c r="A50" s="241">
        <v>35</v>
      </c>
      <c r="B50" s="33" t="s">
        <v>174</v>
      </c>
      <c r="C50" s="34" t="s">
        <v>185</v>
      </c>
      <c r="D50" s="35" t="s">
        <v>201</v>
      </c>
      <c r="E50" s="35" t="s">
        <v>185</v>
      </c>
      <c r="F50" s="36" t="s">
        <v>17</v>
      </c>
      <c r="G50" s="37">
        <v>3</v>
      </c>
      <c r="H50" s="36">
        <v>4</v>
      </c>
      <c r="J50" s="4" t="s">
        <v>263</v>
      </c>
      <c r="K50" s="4" t="s">
        <v>264</v>
      </c>
    </row>
    <row r="51" spans="10:11" ht="16.5" customHeight="1" thickTop="1">
      <c r="J51" s="4" t="s">
        <v>265</v>
      </c>
      <c r="K51" s="4" t="s">
        <v>266</v>
      </c>
    </row>
    <row r="52" ht="16.5" customHeight="1" thickBot="1"/>
    <row r="53" spans="1:11" ht="16.5" customHeight="1" thickBot="1" thickTop="1">
      <c r="A53" s="11"/>
      <c r="B53" s="12" t="s">
        <v>24</v>
      </c>
      <c r="C53" s="13">
        <v>1</v>
      </c>
      <c r="D53" s="14">
        <v>2</v>
      </c>
      <c r="E53" s="14">
        <v>3</v>
      </c>
      <c r="F53" s="15">
        <v>4</v>
      </c>
      <c r="G53" s="16" t="s">
        <v>15</v>
      </c>
      <c r="H53" s="15" t="s">
        <v>16</v>
      </c>
      <c r="J53" s="4" t="s">
        <v>267</v>
      </c>
      <c r="K53" s="4" t="s">
        <v>268</v>
      </c>
    </row>
    <row r="54" spans="1:11" ht="16.5" customHeight="1" thickTop="1">
      <c r="A54" s="239">
        <v>8</v>
      </c>
      <c r="B54" s="20" t="s">
        <v>149</v>
      </c>
      <c r="C54" s="21" t="s">
        <v>17</v>
      </c>
      <c r="D54" s="22" t="s">
        <v>182</v>
      </c>
      <c r="E54" s="22" t="s">
        <v>182</v>
      </c>
      <c r="F54" s="23" t="s">
        <v>182</v>
      </c>
      <c r="G54" s="24">
        <v>6</v>
      </c>
      <c r="H54" s="23">
        <v>1</v>
      </c>
      <c r="J54" s="4" t="s">
        <v>269</v>
      </c>
      <c r="K54" s="4" t="s">
        <v>270</v>
      </c>
    </row>
    <row r="55" spans="1:11" ht="16.5" customHeight="1">
      <c r="A55" s="240">
        <v>27</v>
      </c>
      <c r="B55" s="28" t="s">
        <v>133</v>
      </c>
      <c r="C55" s="29" t="s">
        <v>185</v>
      </c>
      <c r="D55" s="30" t="s">
        <v>17</v>
      </c>
      <c r="E55" s="30" t="s">
        <v>185</v>
      </c>
      <c r="F55" s="31" t="s">
        <v>186</v>
      </c>
      <c r="G55" s="32">
        <v>4</v>
      </c>
      <c r="H55" s="31">
        <v>3</v>
      </c>
      <c r="J55" s="4" t="s">
        <v>271</v>
      </c>
      <c r="K55" s="4" t="s">
        <v>272</v>
      </c>
    </row>
    <row r="56" spans="1:11" ht="16.5" customHeight="1">
      <c r="A56" s="240">
        <v>11</v>
      </c>
      <c r="B56" s="28" t="s">
        <v>137</v>
      </c>
      <c r="C56" s="29" t="s">
        <v>185</v>
      </c>
      <c r="D56" s="30" t="s">
        <v>182</v>
      </c>
      <c r="E56" s="30" t="s">
        <v>17</v>
      </c>
      <c r="F56" s="31" t="s">
        <v>182</v>
      </c>
      <c r="G56" s="32">
        <v>5</v>
      </c>
      <c r="H56" s="31">
        <v>2</v>
      </c>
      <c r="J56" s="4" t="s">
        <v>273</v>
      </c>
      <c r="K56" s="4" t="s">
        <v>274</v>
      </c>
    </row>
    <row r="57" spans="1:11" ht="16.5" customHeight="1" thickBot="1">
      <c r="A57" s="241">
        <v>33</v>
      </c>
      <c r="B57" s="33" t="s">
        <v>154</v>
      </c>
      <c r="C57" s="34" t="s">
        <v>185</v>
      </c>
      <c r="D57" s="35" t="s">
        <v>188</v>
      </c>
      <c r="E57" s="35" t="s">
        <v>185</v>
      </c>
      <c r="F57" s="36" t="s">
        <v>17</v>
      </c>
      <c r="G57" s="37">
        <v>3</v>
      </c>
      <c r="H57" s="36">
        <v>4</v>
      </c>
      <c r="J57" s="4" t="s">
        <v>275</v>
      </c>
      <c r="K57" s="4" t="s">
        <v>276</v>
      </c>
    </row>
    <row r="58" spans="10:11" ht="16.5" customHeight="1" thickTop="1">
      <c r="J58" s="4" t="s">
        <v>277</v>
      </c>
      <c r="K58" s="4" t="s">
        <v>278</v>
      </c>
    </row>
    <row r="59" ht="15" customHeight="1" thickBot="1"/>
    <row r="60" spans="1:11" ht="15" customHeight="1" thickBot="1" thickTop="1">
      <c r="A60" s="11"/>
      <c r="B60" s="12" t="s">
        <v>71</v>
      </c>
      <c r="C60" s="13">
        <v>1</v>
      </c>
      <c r="D60" s="14">
        <v>2</v>
      </c>
      <c r="E60" s="14">
        <v>3</v>
      </c>
      <c r="F60" s="15">
        <v>4</v>
      </c>
      <c r="G60" s="16" t="s">
        <v>15</v>
      </c>
      <c r="H60" s="15" t="s">
        <v>16</v>
      </c>
      <c r="J60" s="4" t="s">
        <v>279</v>
      </c>
      <c r="K60" s="4" t="s">
        <v>280</v>
      </c>
    </row>
    <row r="61" spans="1:11" ht="15" customHeight="1" thickTop="1">
      <c r="A61" s="239">
        <v>9</v>
      </c>
      <c r="B61" s="20" t="s">
        <v>136</v>
      </c>
      <c r="C61" s="21" t="s">
        <v>17</v>
      </c>
      <c r="D61" s="22" t="s">
        <v>182</v>
      </c>
      <c r="E61" s="22" t="s">
        <v>182</v>
      </c>
      <c r="F61" s="23" t="s">
        <v>182</v>
      </c>
      <c r="G61" s="24">
        <v>6</v>
      </c>
      <c r="H61" s="23">
        <v>1</v>
      </c>
      <c r="J61" s="4" t="s">
        <v>281</v>
      </c>
      <c r="K61" s="4" t="s">
        <v>282</v>
      </c>
    </row>
    <row r="62" spans="1:11" ht="15" customHeight="1">
      <c r="A62" s="240">
        <v>29</v>
      </c>
      <c r="B62" s="28" t="s">
        <v>157</v>
      </c>
      <c r="C62" s="29" t="s">
        <v>185</v>
      </c>
      <c r="D62" s="30" t="s">
        <v>17</v>
      </c>
      <c r="E62" s="30" t="s">
        <v>185</v>
      </c>
      <c r="F62" s="31" t="s">
        <v>198</v>
      </c>
      <c r="G62" s="32">
        <v>4</v>
      </c>
      <c r="H62" s="31">
        <v>3</v>
      </c>
      <c r="J62" s="4" t="s">
        <v>283</v>
      </c>
      <c r="K62" s="4" t="s">
        <v>284</v>
      </c>
    </row>
    <row r="63" spans="1:11" ht="15" customHeight="1">
      <c r="A63" s="240">
        <v>13</v>
      </c>
      <c r="B63" s="28" t="s">
        <v>163</v>
      </c>
      <c r="C63" s="29" t="s">
        <v>185</v>
      </c>
      <c r="D63" s="30" t="s">
        <v>182</v>
      </c>
      <c r="E63" s="30" t="s">
        <v>17</v>
      </c>
      <c r="F63" s="31" t="s">
        <v>198</v>
      </c>
      <c r="G63" s="32">
        <v>5</v>
      </c>
      <c r="H63" s="31">
        <v>2</v>
      </c>
      <c r="J63" s="4" t="s">
        <v>285</v>
      </c>
      <c r="K63" s="4" t="s">
        <v>286</v>
      </c>
    </row>
    <row r="64" spans="1:11" ht="15" customHeight="1" thickBot="1">
      <c r="A64" s="241">
        <v>31</v>
      </c>
      <c r="B64" s="33" t="s">
        <v>143</v>
      </c>
      <c r="C64" s="34" t="s">
        <v>185</v>
      </c>
      <c r="D64" s="35" t="s">
        <v>201</v>
      </c>
      <c r="E64" s="35" t="s">
        <v>201</v>
      </c>
      <c r="F64" s="36" t="s">
        <v>17</v>
      </c>
      <c r="G64" s="37">
        <v>3</v>
      </c>
      <c r="H64" s="36">
        <v>4</v>
      </c>
      <c r="J64" s="4" t="s">
        <v>287</v>
      </c>
      <c r="K64" s="4" t="s">
        <v>288</v>
      </c>
    </row>
    <row r="65" spans="10:11" ht="15" customHeight="1" thickTop="1">
      <c r="J65" s="4" t="s">
        <v>289</v>
      </c>
      <c r="K65" s="4" t="s">
        <v>290</v>
      </c>
    </row>
    <row r="66" ht="15" customHeight="1" thickBot="1"/>
    <row r="67" spans="1:11" ht="15" customHeight="1" thickBot="1" thickTop="1">
      <c r="A67" s="11"/>
      <c r="B67" s="12" t="s">
        <v>72</v>
      </c>
      <c r="C67" s="13">
        <v>1</v>
      </c>
      <c r="D67" s="14">
        <v>2</v>
      </c>
      <c r="E67" s="14">
        <v>3</v>
      </c>
      <c r="F67" s="15">
        <v>4</v>
      </c>
      <c r="G67" s="16" t="s">
        <v>15</v>
      </c>
      <c r="H67" s="15" t="s">
        <v>16</v>
      </c>
      <c r="J67" s="4" t="s">
        <v>291</v>
      </c>
      <c r="K67" s="4" t="s">
        <v>292</v>
      </c>
    </row>
    <row r="68" spans="1:11" ht="15" customHeight="1" thickTop="1">
      <c r="A68" s="239">
        <v>10</v>
      </c>
      <c r="B68" s="20" t="s">
        <v>151</v>
      </c>
      <c r="C68" s="21" t="s">
        <v>17</v>
      </c>
      <c r="D68" s="22" t="s">
        <v>182</v>
      </c>
      <c r="E68" s="22" t="s">
        <v>182</v>
      </c>
      <c r="F68" s="23" t="s">
        <v>182</v>
      </c>
      <c r="G68" s="24">
        <v>6</v>
      </c>
      <c r="H68" s="23">
        <v>1</v>
      </c>
      <c r="J68" s="4" t="s">
        <v>293</v>
      </c>
      <c r="K68" s="4" t="s">
        <v>294</v>
      </c>
    </row>
    <row r="69" spans="1:11" ht="15" customHeight="1">
      <c r="A69" s="240">
        <v>30</v>
      </c>
      <c r="B69" s="28" t="s">
        <v>295</v>
      </c>
      <c r="C69" s="29" t="s">
        <v>185</v>
      </c>
      <c r="D69" s="30" t="s">
        <v>17</v>
      </c>
      <c r="E69" s="30" t="s">
        <v>185</v>
      </c>
      <c r="F69" s="31" t="s">
        <v>198</v>
      </c>
      <c r="G69" s="32">
        <v>4</v>
      </c>
      <c r="H69" s="31">
        <v>3</v>
      </c>
      <c r="J69" s="4" t="s">
        <v>296</v>
      </c>
      <c r="K69" s="4" t="s">
        <v>297</v>
      </c>
    </row>
    <row r="70" spans="1:11" ht="15" customHeight="1">
      <c r="A70" s="240">
        <v>12</v>
      </c>
      <c r="B70" s="28" t="s">
        <v>165</v>
      </c>
      <c r="C70" s="29" t="s">
        <v>185</v>
      </c>
      <c r="D70" s="30" t="s">
        <v>182</v>
      </c>
      <c r="E70" s="30" t="s">
        <v>17</v>
      </c>
      <c r="F70" s="31" t="s">
        <v>182</v>
      </c>
      <c r="G70" s="32">
        <v>5</v>
      </c>
      <c r="H70" s="31">
        <v>2</v>
      </c>
      <c r="J70" s="4" t="s">
        <v>298</v>
      </c>
      <c r="K70" s="4" t="s">
        <v>299</v>
      </c>
    </row>
    <row r="71" spans="1:11" ht="15" customHeight="1" thickBot="1">
      <c r="A71" s="241">
        <v>32</v>
      </c>
      <c r="B71" s="33" t="s">
        <v>153</v>
      </c>
      <c r="C71" s="34" t="s">
        <v>185</v>
      </c>
      <c r="D71" s="35" t="s">
        <v>201</v>
      </c>
      <c r="E71" s="35" t="s">
        <v>185</v>
      </c>
      <c r="F71" s="36" t="s">
        <v>17</v>
      </c>
      <c r="G71" s="37">
        <v>3</v>
      </c>
      <c r="H71" s="36">
        <v>4</v>
      </c>
      <c r="J71" s="4" t="s">
        <v>300</v>
      </c>
      <c r="K71" s="4" t="s">
        <v>301</v>
      </c>
    </row>
    <row r="72" spans="10:11" ht="15" customHeight="1" thickTop="1">
      <c r="J72" s="4" t="s">
        <v>302</v>
      </c>
      <c r="K72" s="4" t="s">
        <v>303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Normal="75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4.125" style="3" bestFit="1" customWidth="1"/>
    <col min="2" max="2" width="5.125" style="3" customWidth="1"/>
    <col min="3" max="3" width="29.375" style="3" bestFit="1" customWidth="1"/>
    <col min="4" max="4" width="0.875" style="3" customWidth="1"/>
    <col min="5" max="7" width="19.375" style="3" customWidth="1"/>
    <col min="8" max="8" width="19.00390625" style="3" customWidth="1"/>
    <col min="9" max="16384" width="9.125" style="3" customWidth="1"/>
  </cols>
  <sheetData>
    <row r="1" spans="1:8" ht="27" customHeight="1">
      <c r="A1" s="238"/>
      <c r="B1" s="265"/>
      <c r="C1" s="63"/>
      <c r="D1" s="63"/>
      <c r="E1" s="63"/>
      <c r="F1" s="63"/>
      <c r="H1" s="54" t="str">
        <f>CONCATENATE("Útěcha - ",seznam!G2)</f>
        <v>Útěcha - Zimní cena Jižního Města nejmladšího žactva</v>
      </c>
    </row>
    <row r="2" spans="1:8" ht="21" customHeight="1">
      <c r="A2" s="238"/>
      <c r="B2" s="266"/>
      <c r="C2" s="63"/>
      <c r="D2" s="63"/>
      <c r="E2" s="63"/>
      <c r="F2" s="63"/>
      <c r="H2" s="97">
        <f>seznam!H2</f>
        <v>41336</v>
      </c>
    </row>
    <row r="3" spans="3:8" ht="15.75">
      <c r="C3" s="63"/>
      <c r="D3" s="267"/>
      <c r="E3" s="63"/>
      <c r="F3" s="63"/>
      <c r="H3" s="151"/>
    </row>
    <row r="4" spans="1:3" ht="12.75">
      <c r="A4" s="3">
        <v>1</v>
      </c>
      <c r="B4" s="238"/>
      <c r="C4" s="44" t="str">
        <f>IF($B4="","bye",CONCATENATE(VLOOKUP($B4,seznam!$A$2:$E$51,2)," (",VLOOKUP($B4,seznam!$A$2:$E$51,4),")"))</f>
        <v>bye</v>
      </c>
    </row>
    <row r="5" spans="4:5" ht="12.75">
      <c r="D5" s="45"/>
      <c r="E5" s="44">
        <f>'V32 útěcha'!P2</f>
      </c>
    </row>
    <row r="6" spans="1:5" ht="12.75">
      <c r="A6" s="3">
        <v>2</v>
      </c>
      <c r="B6" s="238"/>
      <c r="C6" s="44" t="str">
        <f>IF($B6="","bye",CONCATENATE(VLOOKUP($B6,seznam!$A$2:$E$51,2)," (",VLOOKUP($B6,seznam!$A$2:$E$51,4),")"))</f>
        <v>bye</v>
      </c>
      <c r="D6" s="46"/>
      <c r="E6" s="47">
        <f>'V32 útěcha'!R2</f>
      </c>
    </row>
    <row r="7" spans="4:6" ht="12.75">
      <c r="D7" s="7"/>
      <c r="E7" s="48"/>
      <c r="F7" s="55">
        <f>'V32 útěcha'!P19</f>
      </c>
    </row>
    <row r="8" spans="1:6" ht="12.75">
      <c r="A8" s="3">
        <v>3</v>
      </c>
      <c r="B8" s="238"/>
      <c r="C8" s="44" t="str">
        <f>IF($B8="","bye",CONCATENATE(VLOOKUP($B8,seznam!$A$2:$E$51,2)," (",VLOOKUP($B8,seznam!$A$2:$E$51,4),")"))</f>
        <v>bye</v>
      </c>
      <c r="D8" s="50"/>
      <c r="E8" s="48"/>
      <c r="F8" s="47">
        <f>'V32 útěcha'!R19</f>
      </c>
    </row>
    <row r="9" spans="4:6" ht="12.75">
      <c r="D9" s="45"/>
      <c r="E9" s="51">
        <f>'V32 útěcha'!P3</f>
      </c>
      <c r="F9" s="48"/>
    </row>
    <row r="10" spans="1:6" ht="12.75">
      <c r="A10" s="3">
        <v>4</v>
      </c>
      <c r="B10" s="238"/>
      <c r="C10" s="44" t="str">
        <f>IF($B10="","bye",CONCATENATE(VLOOKUP($B10,seznam!$A$2:$E$51,2)," (",VLOOKUP($B10,seznam!$A$2:$E$51,4),")"))</f>
        <v>bye</v>
      </c>
      <c r="D10" s="46"/>
      <c r="E10" s="3">
        <f>'V32 útěcha'!R3</f>
      </c>
      <c r="F10" s="48"/>
    </row>
    <row r="11" spans="4:7" ht="12.75">
      <c r="D11" s="7"/>
      <c r="F11" s="48"/>
      <c r="G11" s="55">
        <f>'V32 útěcha'!P28</f>
      </c>
    </row>
    <row r="12" spans="1:7" ht="12.75">
      <c r="A12" s="3">
        <v>5</v>
      </c>
      <c r="B12" s="238"/>
      <c r="C12" s="44" t="str">
        <f>IF($B12="","bye",CONCATENATE(VLOOKUP($B12,seznam!$A$2:$E$51,2)," (",VLOOKUP($B12,seznam!$A$2:$E$51,4),")"))</f>
        <v>bye</v>
      </c>
      <c r="D12" s="50"/>
      <c r="F12" s="48"/>
      <c r="G12" s="47">
        <f>'V32 útěcha'!R28</f>
      </c>
    </row>
    <row r="13" spans="4:7" ht="12.75">
      <c r="D13" s="45"/>
      <c r="E13" s="44">
        <f>'V32 útěcha'!P4</f>
      </c>
      <c r="F13" s="48"/>
      <c r="G13" s="48"/>
    </row>
    <row r="14" spans="1:7" ht="12.75">
      <c r="A14" s="3">
        <v>6</v>
      </c>
      <c r="B14" s="238"/>
      <c r="C14" s="44" t="str">
        <f>IF($B14="","bye",CONCATENATE(VLOOKUP($B14,seznam!$A$2:$E$51,2)," (",VLOOKUP($B14,seznam!$A$2:$E$51,4),")"))</f>
        <v>bye</v>
      </c>
      <c r="D14" s="46"/>
      <c r="E14" s="47">
        <f>'V32 útěcha'!R4</f>
      </c>
      <c r="F14" s="48"/>
      <c r="G14" s="48"/>
    </row>
    <row r="15" spans="4:7" ht="12.75">
      <c r="D15" s="7"/>
      <c r="E15" s="48"/>
      <c r="F15" s="56">
        <f>'V32 útěcha'!P20</f>
      </c>
      <c r="G15" s="48"/>
    </row>
    <row r="16" spans="1:7" ht="12.75">
      <c r="A16" s="3">
        <v>7</v>
      </c>
      <c r="B16" s="238"/>
      <c r="C16" s="44" t="str">
        <f>IF($B16="","bye",CONCATENATE(VLOOKUP($B16,seznam!$A$2:$E$51,2)," (",VLOOKUP($B16,seznam!$A$2:$E$51,4),")"))</f>
        <v>bye</v>
      </c>
      <c r="D16" s="50"/>
      <c r="E16" s="48"/>
      <c r="F16" s="3">
        <f>'V32 útěcha'!R20</f>
      </c>
      <c r="G16" s="48"/>
    </row>
    <row r="17" spans="4:7" ht="12.75">
      <c r="D17" s="45"/>
      <c r="E17" s="51">
        <f>'V32 útěcha'!P5</f>
      </c>
      <c r="G17" s="48"/>
    </row>
    <row r="18" spans="1:7" ht="12.75">
      <c r="A18" s="3">
        <v>8</v>
      </c>
      <c r="B18" s="238"/>
      <c r="C18" s="44" t="str">
        <f>IF($B18="","bye",CONCATENATE(VLOOKUP($B18,seznam!$A$2:$E$51,2)," (",VLOOKUP($B18,seznam!$A$2:$E$51,4),")"))</f>
        <v>bye</v>
      </c>
      <c r="D18" s="46"/>
      <c r="E18" s="3">
        <f>'V32 útěcha'!R5</f>
      </c>
      <c r="G18" s="48"/>
    </row>
    <row r="19" spans="4:8" ht="12.75">
      <c r="D19" s="7"/>
      <c r="H19" s="49">
        <f>'V32 útěcha'!P33</f>
      </c>
    </row>
    <row r="20" spans="1:8" ht="12.75">
      <c r="A20" s="3">
        <v>9</v>
      </c>
      <c r="B20" s="238"/>
      <c r="C20" s="44" t="str">
        <f>IF($B20="","bye",CONCATENATE(VLOOKUP($B20,seznam!$A$2:$E$51,2)," (",VLOOKUP($B20,seznam!$A$2:$E$51,4),")"))</f>
        <v>bye</v>
      </c>
      <c r="D20" s="50"/>
      <c r="F20" s="52"/>
      <c r="H20" s="152">
        <f>'V32 útěcha'!R33</f>
      </c>
    </row>
    <row r="21" spans="4:8" ht="12.75">
      <c r="D21" s="45"/>
      <c r="E21" s="44">
        <f>'V32 útěcha'!P6</f>
      </c>
      <c r="G21" s="48"/>
      <c r="H21" s="48"/>
    </row>
    <row r="22" spans="1:8" ht="12.75">
      <c r="A22" s="3">
        <v>10</v>
      </c>
      <c r="B22" s="238"/>
      <c r="C22" s="44" t="str">
        <f>IF($B22="","bye",CONCATENATE(VLOOKUP($B22,seznam!$A$2:$E$51,2)," (",VLOOKUP($B22,seznam!$A$2:$E$51,4),")"))</f>
        <v>bye</v>
      </c>
      <c r="D22" s="46"/>
      <c r="E22" s="47">
        <f>'V32 útěcha'!R6</f>
      </c>
      <c r="G22" s="48"/>
      <c r="H22" s="48"/>
    </row>
    <row r="23" spans="4:8" ht="12.75">
      <c r="D23" s="7"/>
      <c r="E23" s="48"/>
      <c r="F23" s="55">
        <f>'V32 útěcha'!P21</f>
      </c>
      <c r="G23" s="48"/>
      <c r="H23" s="48"/>
    </row>
    <row r="24" spans="1:8" ht="12.75">
      <c r="A24" s="3">
        <v>11</v>
      </c>
      <c r="B24" s="238"/>
      <c r="C24" s="44" t="str">
        <f>IF($B24="","bye",CONCATENATE(VLOOKUP($B24,seznam!$A$2:$E$51,2)," (",VLOOKUP($B24,seznam!$A$2:$E$51,4),")"))</f>
        <v>bye</v>
      </c>
      <c r="D24" s="50"/>
      <c r="E24" s="48"/>
      <c r="F24" s="47">
        <f>'V32 útěcha'!R21</f>
      </c>
      <c r="G24" s="48"/>
      <c r="H24" s="48"/>
    </row>
    <row r="25" spans="4:8" ht="12.75">
      <c r="D25" s="45"/>
      <c r="E25" s="51">
        <f>'V32 útěcha'!P7</f>
      </c>
      <c r="F25" s="48"/>
      <c r="G25" s="48"/>
      <c r="H25" s="48"/>
    </row>
    <row r="26" spans="1:8" ht="12.75">
      <c r="A26" s="3">
        <v>12</v>
      </c>
      <c r="B26" s="238"/>
      <c r="C26" s="44" t="str">
        <f>IF($B26="","bye",CONCATENATE(VLOOKUP($B26,seznam!$A$2:$E$51,2)," (",VLOOKUP($B26,seznam!$A$2:$E$51,4),")"))</f>
        <v>bye</v>
      </c>
      <c r="D26" s="46"/>
      <c r="E26" s="3">
        <f>'V32 útěcha'!R7</f>
      </c>
      <c r="F26" s="48"/>
      <c r="G26" s="48"/>
      <c r="H26" s="48"/>
    </row>
    <row r="27" spans="2:8" ht="12.75" customHeight="1">
      <c r="B27" s="63"/>
      <c r="D27" s="7"/>
      <c r="F27" s="48"/>
      <c r="G27" s="56">
        <f>'V32 útěcha'!P29</f>
      </c>
      <c r="H27" s="48"/>
    </row>
    <row r="28" spans="1:8" ht="12.75">
      <c r="A28" s="3">
        <v>13</v>
      </c>
      <c r="B28" s="238"/>
      <c r="C28" s="44" t="str">
        <f>IF($B28="","bye",CONCATENATE(VLOOKUP($B28,seznam!$A$2:$E$51,2)," (",VLOOKUP($B28,seznam!$A$2:$E$51,4),")"))</f>
        <v>bye</v>
      </c>
      <c r="D28" s="50"/>
      <c r="F28" s="48"/>
      <c r="G28" s="3">
        <f>'V32 útěcha'!R29</f>
      </c>
      <c r="H28" s="48"/>
    </row>
    <row r="29" spans="4:8" ht="12" customHeight="1">
      <c r="D29" s="45"/>
      <c r="E29" s="44">
        <f>'V32 útěcha'!P8</f>
      </c>
      <c r="F29" s="48"/>
      <c r="H29" s="48"/>
    </row>
    <row r="30" spans="1:8" ht="12.75">
      <c r="A30" s="3">
        <v>14</v>
      </c>
      <c r="B30" s="238"/>
      <c r="C30" s="44" t="str">
        <f>IF($B30="","bye",CONCATENATE(VLOOKUP($B30,seznam!$A$2:$E$51,2)," (",VLOOKUP($B30,seznam!$A$2:$E$51,4),")"))</f>
        <v>bye</v>
      </c>
      <c r="D30" s="46"/>
      <c r="E30" s="47">
        <f>'V32 útěcha'!R8</f>
      </c>
      <c r="F30" s="48"/>
      <c r="H30" s="48"/>
    </row>
    <row r="31" spans="4:8" ht="12.75">
      <c r="D31" s="7"/>
      <c r="E31" s="48"/>
      <c r="F31" s="56">
        <f>'V32 útěcha'!P22</f>
      </c>
      <c r="H31" s="48"/>
    </row>
    <row r="32" spans="1:8" ht="12.75">
      <c r="A32" s="3">
        <v>15</v>
      </c>
      <c r="B32" s="238"/>
      <c r="C32" s="44" t="str">
        <f>IF($B32="","bye",CONCATENATE(VLOOKUP($B32,seznam!$A$2:$E$51,2)," (",VLOOKUP($B32,seznam!$A$2:$E$51,4),")"))</f>
        <v>bye</v>
      </c>
      <c r="D32" s="50"/>
      <c r="E32" s="48"/>
      <c r="F32" s="3">
        <f>'V32 útěcha'!R22</f>
      </c>
      <c r="H32" s="48"/>
    </row>
    <row r="33" spans="4:8" ht="12.75">
      <c r="D33" s="45"/>
      <c r="E33" s="51">
        <f>'V32 útěcha'!P9</f>
      </c>
      <c r="H33" s="48"/>
    </row>
    <row r="34" spans="1:8" ht="12.75">
      <c r="A34" s="3">
        <v>16</v>
      </c>
      <c r="B34" s="238"/>
      <c r="C34" s="44" t="str">
        <f>IF($B34="","bye",CONCATENATE(VLOOKUP($B34,seznam!$A$2:$E$51,2)," (",VLOOKUP($B34,seznam!$A$2:$E$51,4),")"))</f>
        <v>bye</v>
      </c>
      <c r="D34" s="46"/>
      <c r="E34" s="3">
        <f>'V32 útěcha'!R9</f>
      </c>
      <c r="H34" s="48"/>
    </row>
    <row r="35" ht="12.75">
      <c r="H35" s="58">
        <f>'V32 útěcha'!P36</f>
      </c>
    </row>
    <row r="36" spans="1:8" ht="12.75">
      <c r="A36" s="3">
        <v>17</v>
      </c>
      <c r="B36" s="238"/>
      <c r="C36" s="44" t="str">
        <f>IF($B36="","bye",CONCATENATE(VLOOKUP($B36,seznam!$A$2:$E$51,2)," (",VLOOKUP($B36,seznam!$A$2:$E$51,4),")"))</f>
        <v>bye</v>
      </c>
      <c r="H36" s="47">
        <f>'V32 útěcha'!R36</f>
      </c>
    </row>
    <row r="37" spans="4:8" ht="12.75">
      <c r="D37" s="45"/>
      <c r="E37" s="44">
        <f>'V32 útěcha'!P10</f>
      </c>
      <c r="H37" s="48"/>
    </row>
    <row r="38" spans="1:8" ht="12.75">
      <c r="A38" s="3">
        <v>18</v>
      </c>
      <c r="B38" s="238"/>
      <c r="C38" s="44" t="str">
        <f>IF($B38="","bye",CONCATENATE(VLOOKUP($B38,seznam!$A$2:$E$51,2)," (",VLOOKUP($B38,seznam!$A$2:$E$51,4),")"))</f>
        <v>bye</v>
      </c>
      <c r="D38" s="46"/>
      <c r="E38" s="47">
        <f>'V32 útěcha'!R10</f>
      </c>
      <c r="H38" s="48"/>
    </row>
    <row r="39" spans="2:8" ht="12.75">
      <c r="B39" s="63"/>
      <c r="D39" s="7"/>
      <c r="E39" s="48"/>
      <c r="F39" s="55">
        <f>'V32 útěcha'!P23</f>
      </c>
      <c r="H39" s="48"/>
    </row>
    <row r="40" spans="1:8" ht="12.75">
      <c r="A40" s="3">
        <v>19</v>
      </c>
      <c r="B40" s="238"/>
      <c r="C40" s="44" t="str">
        <f>IF($B40="","bye",CONCATENATE(VLOOKUP($B40,seznam!$A$2:$E$51,2)," (",VLOOKUP($B40,seznam!$A$2:$E$51,4),")"))</f>
        <v>bye</v>
      </c>
      <c r="D40" s="50"/>
      <c r="E40" s="48"/>
      <c r="F40" s="47">
        <f>'V32 útěcha'!R23</f>
      </c>
      <c r="H40" s="48"/>
    </row>
    <row r="41" spans="4:8" ht="12.75">
      <c r="D41" s="45"/>
      <c r="E41" s="51">
        <f>'V32 útěcha'!P11</f>
      </c>
      <c r="F41" s="48"/>
      <c r="H41" s="48"/>
    </row>
    <row r="42" spans="1:8" ht="12.75">
      <c r="A42" s="3">
        <v>20</v>
      </c>
      <c r="B42" s="238"/>
      <c r="C42" s="44" t="str">
        <f>IF($B42="","bye",CONCATENATE(VLOOKUP($B42,seznam!$A$2:$E$51,2)," (",VLOOKUP($B42,seznam!$A$2:$E$51,4),")"))</f>
        <v>bye</v>
      </c>
      <c r="D42" s="46"/>
      <c r="E42" s="3">
        <f>'V32 útěcha'!R11</f>
      </c>
      <c r="F42" s="48"/>
      <c r="H42" s="48"/>
    </row>
    <row r="43" spans="4:8" ht="12.75">
      <c r="D43" s="7"/>
      <c r="F43" s="48"/>
      <c r="G43" s="55">
        <f>'V32 útěcha'!P30</f>
      </c>
      <c r="H43" s="48"/>
    </row>
    <row r="44" spans="1:8" ht="12.75">
      <c r="A44" s="3">
        <v>21</v>
      </c>
      <c r="B44" s="238"/>
      <c r="C44" s="44" t="str">
        <f>IF($B44="","bye",CONCATENATE(VLOOKUP($B44,seznam!$A$2:$E$51,2)," (",VLOOKUP($B44,seznam!$A$2:$E$51,4),")"))</f>
        <v>bye</v>
      </c>
      <c r="D44" s="50"/>
      <c r="F44" s="48"/>
      <c r="G44" s="47">
        <f>'V32 útěcha'!R30</f>
      </c>
      <c r="H44" s="48"/>
    </row>
    <row r="45" spans="4:8" ht="12.75">
      <c r="D45" s="45"/>
      <c r="E45" s="44">
        <f>'V32 útěcha'!P12</f>
      </c>
      <c r="F45" s="48"/>
      <c r="G45" s="48"/>
      <c r="H45" s="48"/>
    </row>
    <row r="46" spans="1:8" ht="12.75">
      <c r="A46" s="3">
        <v>22</v>
      </c>
      <c r="B46" s="238"/>
      <c r="C46" s="44" t="str">
        <f>IF($B46="","bye",CONCATENATE(VLOOKUP($B46,seznam!$A$2:$E$51,2)," (",VLOOKUP($B46,seznam!$A$2:$E$51,4),")"))</f>
        <v>bye</v>
      </c>
      <c r="D46" s="46"/>
      <c r="E46" s="47">
        <f>'V32 útěcha'!R12</f>
      </c>
      <c r="F46" s="48"/>
      <c r="G46" s="48"/>
      <c r="H46" s="48"/>
    </row>
    <row r="47" spans="4:8" ht="12.75">
      <c r="D47" s="7"/>
      <c r="E47" s="48"/>
      <c r="F47" s="56">
        <f>'V32 útěcha'!P24</f>
      </c>
      <c r="G47" s="48"/>
      <c r="H47" s="48"/>
    </row>
    <row r="48" spans="1:8" ht="12.75">
      <c r="A48" s="3">
        <v>23</v>
      </c>
      <c r="B48" s="238"/>
      <c r="C48" s="44" t="str">
        <f>IF($B48="","bye",CONCATENATE(VLOOKUP($B48,seznam!$A$2:$E$51,2)," (",VLOOKUP($B48,seznam!$A$2:$E$51,4),")"))</f>
        <v>bye</v>
      </c>
      <c r="D48" s="50"/>
      <c r="E48" s="48"/>
      <c r="F48" s="3">
        <f>'V32 útěcha'!R24</f>
      </c>
      <c r="G48" s="48"/>
      <c r="H48" s="48"/>
    </row>
    <row r="49" spans="4:8" ht="12.75">
      <c r="D49" s="45"/>
      <c r="E49" s="51">
        <f>'V32 útěcha'!P13</f>
      </c>
      <c r="G49" s="48"/>
      <c r="H49" s="48"/>
    </row>
    <row r="50" spans="1:8" ht="12.75">
      <c r="A50" s="3">
        <v>24</v>
      </c>
      <c r="B50" s="238"/>
      <c r="C50" s="44" t="str">
        <f>IF($B50="","bye",CONCATENATE(VLOOKUP($B50,seznam!$A$2:$E$51,2)," (",VLOOKUP($B50,seznam!$A$2:$E$51,4),")"))</f>
        <v>bye</v>
      </c>
      <c r="D50" s="46"/>
      <c r="E50" s="3">
        <f>'V32 útěcha'!R13</f>
      </c>
      <c r="G50" s="48"/>
      <c r="H50" s="48"/>
    </row>
    <row r="51" spans="4:8" ht="12.75">
      <c r="D51" s="7"/>
      <c r="H51" s="53">
        <f>'V32 útěcha'!P34</f>
      </c>
    </row>
    <row r="52" spans="1:8" ht="12.75">
      <c r="A52" s="3">
        <v>25</v>
      </c>
      <c r="B52" s="238"/>
      <c r="C52" s="44" t="str">
        <f>IF($B52="","bye",CONCATENATE(VLOOKUP($B52,seznam!$A$2:$E$51,2)," (",VLOOKUP($B52,seznam!$A$2:$E$51,4),")"))</f>
        <v>bye</v>
      </c>
      <c r="D52" s="50"/>
      <c r="H52" s="153">
        <f>'V32 útěcha'!R34</f>
      </c>
    </row>
    <row r="53" spans="4:7" ht="12.75">
      <c r="D53" s="45"/>
      <c r="E53" s="44">
        <f>'V32 útěcha'!P14</f>
      </c>
      <c r="G53" s="48"/>
    </row>
    <row r="54" spans="1:7" ht="12.75">
      <c r="A54" s="3">
        <v>26</v>
      </c>
      <c r="B54" s="238"/>
      <c r="C54" s="44" t="str">
        <f>IF($B54="","bye",CONCATENATE(VLOOKUP($B54,seznam!$A$2:$E$51,2)," (",VLOOKUP($B54,seznam!$A$2:$E$51,4),")"))</f>
        <v>bye</v>
      </c>
      <c r="D54" s="46"/>
      <c r="E54" s="47">
        <f>'V32 útěcha'!R14</f>
      </c>
      <c r="G54" s="48"/>
    </row>
    <row r="55" spans="4:7" ht="12.75">
      <c r="D55" s="7"/>
      <c r="E55" s="48"/>
      <c r="F55" s="55">
        <f>'V32 útěcha'!P25</f>
      </c>
      <c r="G55" s="48"/>
    </row>
    <row r="56" spans="1:7" ht="12.75">
      <c r="A56" s="3">
        <v>27</v>
      </c>
      <c r="B56" s="238"/>
      <c r="C56" s="44" t="str">
        <f>IF($B56="","bye",CONCATENATE(VLOOKUP($B56,seznam!$A$2:$E$51,2)," (",VLOOKUP($B56,seznam!$A$2:$E$51,4),")"))</f>
        <v>bye</v>
      </c>
      <c r="D56" s="50"/>
      <c r="E56" s="48"/>
      <c r="F56" s="47">
        <f>'V32 útěcha'!R25</f>
      </c>
      <c r="G56" s="48"/>
    </row>
    <row r="57" spans="4:7" ht="12.75">
      <c r="D57" s="45"/>
      <c r="E57" s="51">
        <f>'V32 útěcha'!P15</f>
      </c>
      <c r="F57" s="48"/>
      <c r="G57" s="48"/>
    </row>
    <row r="58" spans="1:7" ht="12.75">
      <c r="A58" s="3">
        <v>28</v>
      </c>
      <c r="B58" s="238"/>
      <c r="C58" s="44" t="str">
        <f>IF($B58="","bye",CONCATENATE(VLOOKUP($B58,seznam!$A$2:$E$51,2)," (",VLOOKUP($B58,seznam!$A$2:$E$51,4),")"))</f>
        <v>bye</v>
      </c>
      <c r="D58" s="46"/>
      <c r="E58" s="3">
        <f>'V32 útěcha'!R15</f>
      </c>
      <c r="F58" s="48"/>
      <c r="G58" s="48"/>
    </row>
    <row r="59" spans="4:7" ht="12.75">
      <c r="D59" s="7"/>
      <c r="F59" s="48"/>
      <c r="G59" s="56">
        <f>'V32 útěcha'!P31</f>
      </c>
    </row>
    <row r="60" spans="1:7" ht="12.75">
      <c r="A60" s="3">
        <v>29</v>
      </c>
      <c r="B60" s="238"/>
      <c r="C60" s="44" t="str">
        <f>IF($B60="","bye",CONCATENATE(VLOOKUP($B60,seznam!$A$2:$E$51,2)," (",VLOOKUP($B60,seznam!$A$2:$E$51,4),")"))</f>
        <v>bye</v>
      </c>
      <c r="D60" s="50"/>
      <c r="F60" s="48"/>
      <c r="G60" s="3">
        <f>'V32 útěcha'!R31</f>
      </c>
    </row>
    <row r="61" spans="4:6" ht="12.75">
      <c r="D61" s="45"/>
      <c r="E61" s="44">
        <f>'V32 útěcha'!P16</f>
      </c>
      <c r="F61" s="48"/>
    </row>
    <row r="62" spans="1:6" ht="12.75">
      <c r="A62" s="3">
        <v>30</v>
      </c>
      <c r="B62" s="238"/>
      <c r="C62" s="44" t="str">
        <f>IF($B62="","bye",CONCATENATE(VLOOKUP($B62,seznam!$A$2:$E$51,2)," (",VLOOKUP($B62,seznam!$A$2:$E$51,4),")"))</f>
        <v>bye</v>
      </c>
      <c r="D62" s="46"/>
      <c r="E62" s="47">
        <f>'V32 útěcha'!R16</f>
      </c>
      <c r="F62" s="48"/>
    </row>
    <row r="63" spans="4:6" ht="12.75">
      <c r="D63" s="7"/>
      <c r="E63" s="48"/>
      <c r="F63" s="56">
        <f>'V32 útěcha'!P26</f>
      </c>
    </row>
    <row r="64" spans="1:6" ht="12.75">
      <c r="A64" s="3">
        <v>31</v>
      </c>
      <c r="B64" s="238"/>
      <c r="C64" s="44" t="str">
        <f>IF($B64="","bye",CONCATENATE(VLOOKUP($B64,seznam!$A$2:$E$51,2)," (",VLOOKUP($B64,seznam!$A$2:$E$51,4),")"))</f>
        <v>bye</v>
      </c>
      <c r="D64" s="50"/>
      <c r="E64" s="48"/>
      <c r="F64" s="3">
        <f>'V32 útěcha'!R26</f>
      </c>
    </row>
    <row r="65" spans="4:5" ht="12.75">
      <c r="D65" s="45"/>
      <c r="E65" s="51">
        <f>'V32 útěcha'!P17</f>
      </c>
    </row>
    <row r="66" spans="1:5" ht="12.75">
      <c r="A66" s="3">
        <v>32</v>
      </c>
      <c r="B66" s="238"/>
      <c r="C66" s="44" t="str">
        <f>IF($B66="","bye",CONCATENATE(VLOOKUP($B66,seznam!$A$2:$E$51,2)," (",VLOOKUP($B66,seznam!$A$2:$E$51,4),")"))</f>
        <v>bye</v>
      </c>
      <c r="D66" s="46"/>
      <c r="E66" s="3">
        <f>'V32 útěcha'!R17</f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pane ySplit="1" topLeftCell="A2" activePane="bottomLeft" state="frozen"/>
      <selection pane="topLeft" activeCell="H52" sqref="H52"/>
      <selection pane="bottomLeft" activeCell="H36" activeCellId="4" sqref="H2:L17 H19:L26 H28:L31 H33:L34 H36:L36"/>
    </sheetView>
  </sheetViews>
  <sheetFormatPr defaultColWidth="9.00390625" defaultRowHeight="12.75"/>
  <cols>
    <col min="1" max="1" width="22.875" style="3" bestFit="1" customWidth="1"/>
    <col min="2" max="2" width="4.625" style="3" bestFit="1" customWidth="1"/>
    <col min="3" max="3" width="15.125" style="3" bestFit="1" customWidth="1"/>
    <col min="4" max="4" width="19.625" style="3" bestFit="1" customWidth="1"/>
    <col min="5" max="5" width="4.625" style="3" bestFit="1" customWidth="1"/>
    <col min="6" max="6" width="16.00390625" style="3" bestFit="1" customWidth="1"/>
    <col min="7" max="7" width="19.625" style="3" bestFit="1" customWidth="1"/>
    <col min="8" max="12" width="5.25390625" style="3" customWidth="1"/>
    <col min="13" max="14" width="4.25390625" style="3" customWidth="1"/>
    <col min="15" max="15" width="4.625" style="3" bestFit="1" customWidth="1"/>
    <col min="16" max="16" width="5.625" style="3" customWidth="1"/>
    <col min="17" max="17" width="14.875" style="3" customWidth="1"/>
    <col min="18" max="18" width="18.875" style="3" bestFit="1" customWidth="1"/>
    <col min="19" max="19" width="3.625" style="3" customWidth="1"/>
    <col min="20" max="24" width="3.00390625" style="3" customWidth="1"/>
    <col min="25" max="16384" width="9.125" style="3" customWidth="1"/>
  </cols>
  <sheetData>
    <row r="1" spans="2:15" ht="13.5" thickBot="1">
      <c r="B1" s="60" t="s">
        <v>3</v>
      </c>
      <c r="C1" s="60" t="s">
        <v>46</v>
      </c>
      <c r="D1" s="60" t="s">
        <v>4</v>
      </c>
      <c r="E1" s="60" t="s">
        <v>3</v>
      </c>
      <c r="F1" s="60" t="s">
        <v>47</v>
      </c>
      <c r="G1" s="60" t="s">
        <v>4</v>
      </c>
      <c r="H1" s="61" t="s">
        <v>5</v>
      </c>
      <c r="I1" s="61" t="s">
        <v>6</v>
      </c>
      <c r="J1" s="61" t="s">
        <v>7</v>
      </c>
      <c r="K1" s="61" t="s">
        <v>8</v>
      </c>
      <c r="L1" s="61" t="s">
        <v>9</v>
      </c>
      <c r="M1" s="60" t="s">
        <v>10</v>
      </c>
      <c r="N1" s="60" t="s">
        <v>11</v>
      </c>
      <c r="O1" s="60" t="s">
        <v>12</v>
      </c>
    </row>
    <row r="2" spans="1:24" ht="13.5" thickTop="1">
      <c r="A2" s="3" t="str">
        <f>CONCATENATE("Útěcha - 1. kolo")</f>
        <v>Útěcha - 1. kolo</v>
      </c>
      <c r="B2" s="238">
        <f>'KO32 útěcha'!B4</f>
        <v>0</v>
      </c>
      <c r="C2" s="3" t="str">
        <f>IF($B2=0,"bye",VLOOKUP($B2,seznam!$A$2:$D$51,2))</f>
        <v>bye</v>
      </c>
      <c r="D2" s="3">
        <f>IF($B2=0,"",VLOOKUP($B2,seznam!$A$2:$E$51,4))</f>
      </c>
      <c r="E2" s="238">
        <f>'KO32 útěcha'!$B$6</f>
        <v>0</v>
      </c>
      <c r="F2" s="3" t="str">
        <f>IF($E2=0,"bye",VLOOKUP($E2,seznam!$A$2:$D$51,2))</f>
        <v>bye</v>
      </c>
      <c r="G2" s="3">
        <f>IF($E2=0,"",VLOOKUP($E2,seznam!$A$2:$E$51,4))</f>
      </c>
      <c r="H2" s="253"/>
      <c r="I2" s="254"/>
      <c r="J2" s="254"/>
      <c r="K2" s="254"/>
      <c r="L2" s="255"/>
      <c r="M2" s="3">
        <f aca="true" t="shared" si="0" ref="M2:M17">COUNTIF(T2:X2,"&gt;0")</f>
        <v>0</v>
      </c>
      <c r="N2" s="3">
        <f aca="true" t="shared" si="1" ref="N2:N17">COUNTIF(T2:X2,"&lt;0")</f>
        <v>0</v>
      </c>
      <c r="O2" s="3">
        <f aca="true" t="shared" si="2" ref="O2:O17">IF(M2=N2,0,IF(M2&gt;N2,B2,E2))</f>
        <v>0</v>
      </c>
      <c r="P2" s="3">
        <f>IF($O2=0,"",VLOOKUP($O2,seznam!$A$2:$D$51,2))</f>
      </c>
      <c r="Q2" s="3">
        <f aca="true" t="shared" si="3" ref="Q2:Q17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</c>
      <c r="R2" s="3">
        <f aca="true" t="shared" si="4" ref="R2:R17">IF(MAX(M2:N2)=3,Q2,"")</f>
      </c>
      <c r="S2" s="4"/>
      <c r="T2" s="4">
        <f aca="true" t="shared" si="5" ref="T2:T17">IF(H2="",0,IF(MID(H2,1,1)="-",-1,1))</f>
        <v>0</v>
      </c>
      <c r="U2" s="4">
        <f aca="true" t="shared" si="6" ref="U2:U17">IF(I2="",0,IF(MID(I2,1,1)="-",-1,1))</f>
        <v>0</v>
      </c>
      <c r="V2" s="4">
        <f aca="true" t="shared" si="7" ref="V2:V17">IF(J2="",0,IF(MID(J2,1,1)="-",-1,1))</f>
        <v>0</v>
      </c>
      <c r="W2" s="4">
        <f aca="true" t="shared" si="8" ref="W2:W17">IF(K2="",0,IF(MID(K2,1,1)="-",-1,1))</f>
        <v>0</v>
      </c>
      <c r="X2" s="4">
        <f aca="true" t="shared" si="9" ref="X2:X17">IF(L2="",0,IF(MID(L2,1,1)="-",-1,1))</f>
        <v>0</v>
      </c>
    </row>
    <row r="3" spans="1:24" ht="12.75">
      <c r="A3" s="3" t="str">
        <f aca="true" t="shared" si="10" ref="A3:A17">CONCATENATE("Útěcha - 1. kolo")</f>
        <v>Útěcha - 1. kolo</v>
      </c>
      <c r="B3" s="238">
        <f>'KO32 útěcha'!B8</f>
        <v>0</v>
      </c>
      <c r="C3" s="3" t="str">
        <f>IF($B3=0,"bye",VLOOKUP($B3,seznam!$A$2:$D$51,2))</f>
        <v>bye</v>
      </c>
      <c r="D3" s="3">
        <f>IF($B3=0,"",VLOOKUP($B3,seznam!$A$2:$E$51,4))</f>
      </c>
      <c r="E3" s="238">
        <f>'KO32 útěcha'!$B$10</f>
        <v>0</v>
      </c>
      <c r="F3" s="3" t="str">
        <f>IF($E3=0,"bye",VLOOKUP($E3,seznam!$A$2:$D$51,2))</f>
        <v>bye</v>
      </c>
      <c r="G3" s="3">
        <f>IF($E3=0,"",VLOOKUP($E3,seznam!$A$2:$E$51,4))</f>
      </c>
      <c r="H3" s="256"/>
      <c r="I3" s="257"/>
      <c r="J3" s="257"/>
      <c r="K3" s="257"/>
      <c r="L3" s="258"/>
      <c r="M3" s="3">
        <f t="shared" si="0"/>
        <v>0</v>
      </c>
      <c r="N3" s="3">
        <f t="shared" si="1"/>
        <v>0</v>
      </c>
      <c r="O3" s="3">
        <f t="shared" si="2"/>
        <v>0</v>
      </c>
      <c r="P3" s="3">
        <f>IF($O3=0,"",VLOOKUP($O3,seznam!$A$2:$D$51,2))</f>
      </c>
      <c r="Q3" s="3">
        <f t="shared" si="3"/>
      </c>
      <c r="R3" s="3">
        <f t="shared" si="4"/>
      </c>
      <c r="T3" s="4">
        <f t="shared" si="5"/>
        <v>0</v>
      </c>
      <c r="U3" s="4">
        <f t="shared" si="6"/>
        <v>0</v>
      </c>
      <c r="V3" s="4">
        <f t="shared" si="7"/>
        <v>0</v>
      </c>
      <c r="W3" s="4">
        <f t="shared" si="8"/>
        <v>0</v>
      </c>
      <c r="X3" s="4">
        <f t="shared" si="9"/>
        <v>0</v>
      </c>
    </row>
    <row r="4" spans="1:24" ht="12.75">
      <c r="A4" s="3" t="str">
        <f t="shared" si="10"/>
        <v>Útěcha - 1. kolo</v>
      </c>
      <c r="B4" s="238">
        <f>'KO32 útěcha'!B12</f>
        <v>0</v>
      </c>
      <c r="C4" s="3" t="str">
        <f>IF($B4=0,"bye",VLOOKUP($B4,seznam!$A$2:$D$51,2))</f>
        <v>bye</v>
      </c>
      <c r="D4" s="3">
        <f>IF($B4=0,"",VLOOKUP($B4,seznam!$A$2:$E$51,4))</f>
      </c>
      <c r="E4" s="238">
        <f>'KO32 útěcha'!$B$14</f>
        <v>0</v>
      </c>
      <c r="F4" s="3" t="str">
        <f>IF($E4=0,"bye",VLOOKUP($E4,seznam!$A$2:$D$51,2))</f>
        <v>bye</v>
      </c>
      <c r="G4" s="3">
        <f>IF($E4=0,"",VLOOKUP($E4,seznam!$A$2:$E$51,4))</f>
      </c>
      <c r="H4" s="256"/>
      <c r="I4" s="257"/>
      <c r="J4" s="257"/>
      <c r="K4" s="257"/>
      <c r="L4" s="258"/>
      <c r="M4" s="3">
        <f t="shared" si="0"/>
        <v>0</v>
      </c>
      <c r="N4" s="3">
        <f t="shared" si="1"/>
        <v>0</v>
      </c>
      <c r="O4" s="3">
        <f t="shared" si="2"/>
        <v>0</v>
      </c>
      <c r="P4" s="3">
        <f>IF($O4=0,"",VLOOKUP($O4,seznam!$A$2:$D$51,2))</f>
      </c>
      <c r="Q4" s="3">
        <f t="shared" si="3"/>
      </c>
      <c r="R4" s="3">
        <f t="shared" si="4"/>
      </c>
      <c r="T4" s="4">
        <f t="shared" si="5"/>
        <v>0</v>
      </c>
      <c r="U4" s="4">
        <f t="shared" si="6"/>
        <v>0</v>
      </c>
      <c r="V4" s="4">
        <f t="shared" si="7"/>
        <v>0</v>
      </c>
      <c r="W4" s="4">
        <f t="shared" si="8"/>
        <v>0</v>
      </c>
      <c r="X4" s="4">
        <f t="shared" si="9"/>
        <v>0</v>
      </c>
    </row>
    <row r="5" spans="1:24" ht="12.75">
      <c r="A5" s="3" t="str">
        <f t="shared" si="10"/>
        <v>Útěcha - 1. kolo</v>
      </c>
      <c r="B5" s="238">
        <f>'KO32 útěcha'!B16</f>
        <v>0</v>
      </c>
      <c r="C5" s="3" t="str">
        <f>IF($B5=0,"bye",VLOOKUP($B5,seznam!$A$2:$D$51,2))</f>
        <v>bye</v>
      </c>
      <c r="D5" s="3">
        <f>IF($B5=0,"",VLOOKUP($B5,seznam!$A$2:$E$51,4))</f>
      </c>
      <c r="E5" s="238">
        <f>'KO32 útěcha'!$B$18</f>
        <v>0</v>
      </c>
      <c r="F5" s="3" t="str">
        <f>IF($E5=0,"bye",VLOOKUP($E5,seznam!$A$2:$D$51,2))</f>
        <v>bye</v>
      </c>
      <c r="G5" s="3">
        <f>IF($E5=0,"",VLOOKUP($E5,seznam!$A$2:$E$51,4))</f>
      </c>
      <c r="H5" s="256"/>
      <c r="I5" s="257"/>
      <c r="J5" s="257"/>
      <c r="K5" s="257"/>
      <c r="L5" s="258"/>
      <c r="M5" s="3">
        <f t="shared" si="0"/>
        <v>0</v>
      </c>
      <c r="N5" s="3">
        <f t="shared" si="1"/>
        <v>0</v>
      </c>
      <c r="O5" s="3">
        <f t="shared" si="2"/>
        <v>0</v>
      </c>
      <c r="P5" s="3">
        <f>IF($O5=0,"",VLOOKUP($O5,seznam!$A$2:$D$51,2))</f>
      </c>
      <c r="Q5" s="3">
        <f t="shared" si="3"/>
      </c>
      <c r="R5" s="3">
        <f t="shared" si="4"/>
      </c>
      <c r="T5" s="4">
        <f t="shared" si="5"/>
        <v>0</v>
      </c>
      <c r="U5" s="4">
        <f t="shared" si="6"/>
        <v>0</v>
      </c>
      <c r="V5" s="4">
        <f t="shared" si="7"/>
        <v>0</v>
      </c>
      <c r="W5" s="4">
        <f t="shared" si="8"/>
        <v>0</v>
      </c>
      <c r="X5" s="4">
        <f t="shared" si="9"/>
        <v>0</v>
      </c>
    </row>
    <row r="6" spans="1:24" ht="12.75">
      <c r="A6" s="3" t="str">
        <f t="shared" si="10"/>
        <v>Útěcha - 1. kolo</v>
      </c>
      <c r="B6" s="238">
        <f>'KO32 útěcha'!B20</f>
        <v>0</v>
      </c>
      <c r="C6" s="3" t="str">
        <f>IF($B6=0,"bye",VLOOKUP($B6,seznam!$A$2:$D$51,2))</f>
        <v>bye</v>
      </c>
      <c r="D6" s="3">
        <f>IF($B6=0,"",VLOOKUP($B6,seznam!$A$2:$E$51,4))</f>
      </c>
      <c r="E6" s="238">
        <f>'KO32 útěcha'!$B$22</f>
        <v>0</v>
      </c>
      <c r="F6" s="3" t="str">
        <f>IF($E6=0,"bye",VLOOKUP($E6,seznam!$A$2:$D$51,2))</f>
        <v>bye</v>
      </c>
      <c r="G6" s="3">
        <f>IF($E6=0,"",VLOOKUP($E6,seznam!$A$2:$E$51,4))</f>
      </c>
      <c r="H6" s="256"/>
      <c r="I6" s="257"/>
      <c r="J6" s="257"/>
      <c r="K6" s="257"/>
      <c r="L6" s="258"/>
      <c r="M6" s="3">
        <f t="shared" si="0"/>
        <v>0</v>
      </c>
      <c r="N6" s="3">
        <f t="shared" si="1"/>
        <v>0</v>
      </c>
      <c r="O6" s="3">
        <f t="shared" si="2"/>
        <v>0</v>
      </c>
      <c r="P6" s="3">
        <f>IF($O6=0,"",VLOOKUP($O6,seznam!$A$2:$D$51,2))</f>
      </c>
      <c r="Q6" s="3">
        <f t="shared" si="3"/>
      </c>
      <c r="R6" s="3">
        <f t="shared" si="4"/>
      </c>
      <c r="T6" s="4">
        <f t="shared" si="5"/>
        <v>0</v>
      </c>
      <c r="U6" s="4">
        <f t="shared" si="6"/>
        <v>0</v>
      </c>
      <c r="V6" s="4">
        <f t="shared" si="7"/>
        <v>0</v>
      </c>
      <c r="W6" s="4">
        <f t="shared" si="8"/>
        <v>0</v>
      </c>
      <c r="X6" s="4">
        <f t="shared" si="9"/>
        <v>0</v>
      </c>
    </row>
    <row r="7" spans="1:24" ht="12.75">
      <c r="A7" s="3" t="str">
        <f t="shared" si="10"/>
        <v>Útěcha - 1. kolo</v>
      </c>
      <c r="B7" s="238">
        <f>'KO32 útěcha'!B24</f>
        <v>0</v>
      </c>
      <c r="C7" s="3" t="str">
        <f>IF($B7=0,"bye",VLOOKUP($B7,seznam!$A$2:$D$51,2))</f>
        <v>bye</v>
      </c>
      <c r="D7" s="3">
        <f>IF($B7=0,"",VLOOKUP($B7,seznam!$A$2:$E$51,4))</f>
      </c>
      <c r="E7" s="238">
        <f>'KO32 útěcha'!$B$26</f>
        <v>0</v>
      </c>
      <c r="F7" s="3" t="str">
        <f>IF($E7=0,"bye",VLOOKUP($E7,seznam!$A$2:$D$51,2))</f>
        <v>bye</v>
      </c>
      <c r="G7" s="3">
        <f>IF($E7=0,"",VLOOKUP($E7,seznam!$A$2:$E$51,4))</f>
      </c>
      <c r="H7" s="256"/>
      <c r="I7" s="257"/>
      <c r="J7" s="257"/>
      <c r="K7" s="257"/>
      <c r="L7" s="258"/>
      <c r="M7" s="3">
        <f t="shared" si="0"/>
        <v>0</v>
      </c>
      <c r="N7" s="3">
        <f t="shared" si="1"/>
        <v>0</v>
      </c>
      <c r="O7" s="3">
        <f t="shared" si="2"/>
        <v>0</v>
      </c>
      <c r="P7" s="3">
        <f>IF($O7=0,"",VLOOKUP($O7,seznam!$A$2:$D$51,2))</f>
      </c>
      <c r="Q7" s="3">
        <f t="shared" si="3"/>
      </c>
      <c r="R7" s="3">
        <f t="shared" si="4"/>
      </c>
      <c r="T7" s="4">
        <f t="shared" si="5"/>
        <v>0</v>
      </c>
      <c r="U7" s="4">
        <f t="shared" si="6"/>
        <v>0</v>
      </c>
      <c r="V7" s="4">
        <f t="shared" si="7"/>
        <v>0</v>
      </c>
      <c r="W7" s="4">
        <f t="shared" si="8"/>
        <v>0</v>
      </c>
      <c r="X7" s="4">
        <f t="shared" si="9"/>
        <v>0</v>
      </c>
    </row>
    <row r="8" spans="1:24" ht="12.75">
      <c r="A8" s="3" t="str">
        <f t="shared" si="10"/>
        <v>Útěcha - 1. kolo</v>
      </c>
      <c r="B8" s="238">
        <f>'KO32 útěcha'!B28</f>
        <v>0</v>
      </c>
      <c r="C8" s="3" t="str">
        <f>IF($B8=0,"bye",VLOOKUP($B8,seznam!$A$2:$D$51,2))</f>
        <v>bye</v>
      </c>
      <c r="D8" s="3">
        <f>IF($B8=0,"",VLOOKUP($B8,seznam!$A$2:$E$51,4))</f>
      </c>
      <c r="E8" s="238">
        <f>'KO32 útěcha'!$B$30</f>
        <v>0</v>
      </c>
      <c r="F8" s="3" t="str">
        <f>IF($E8=0,"bye",VLOOKUP($E8,seznam!$A$2:$D$51,2))</f>
        <v>bye</v>
      </c>
      <c r="G8" s="3">
        <f>IF($E8=0,"",VLOOKUP($E8,seznam!$A$2:$E$51,4))</f>
      </c>
      <c r="H8" s="256"/>
      <c r="I8" s="257"/>
      <c r="J8" s="257"/>
      <c r="K8" s="257"/>
      <c r="L8" s="258"/>
      <c r="M8" s="3">
        <f t="shared" si="0"/>
        <v>0</v>
      </c>
      <c r="N8" s="3">
        <f t="shared" si="1"/>
        <v>0</v>
      </c>
      <c r="O8" s="3">
        <f t="shared" si="2"/>
        <v>0</v>
      </c>
      <c r="P8" s="3">
        <f>IF($O8=0,"",VLOOKUP($O8,seznam!$A$2:$D$51,2))</f>
      </c>
      <c r="Q8" s="3">
        <f t="shared" si="3"/>
      </c>
      <c r="R8" s="3">
        <f t="shared" si="4"/>
      </c>
      <c r="T8" s="4">
        <f t="shared" si="5"/>
        <v>0</v>
      </c>
      <c r="U8" s="4">
        <f t="shared" si="6"/>
        <v>0</v>
      </c>
      <c r="V8" s="4">
        <f t="shared" si="7"/>
        <v>0</v>
      </c>
      <c r="W8" s="4">
        <f t="shared" si="8"/>
        <v>0</v>
      </c>
      <c r="X8" s="4">
        <f t="shared" si="9"/>
        <v>0</v>
      </c>
    </row>
    <row r="9" spans="1:24" ht="12.75">
      <c r="A9" s="3" t="str">
        <f t="shared" si="10"/>
        <v>Útěcha - 1. kolo</v>
      </c>
      <c r="B9" s="238">
        <f>'KO32 útěcha'!B32</f>
        <v>0</v>
      </c>
      <c r="C9" s="3" t="str">
        <f>IF($B9=0,"bye",VLOOKUP($B9,seznam!$A$2:$D$51,2))</f>
        <v>bye</v>
      </c>
      <c r="D9" s="3">
        <f>IF($B9=0,"",VLOOKUP($B9,seznam!$A$2:$E$51,4))</f>
      </c>
      <c r="E9" s="238">
        <f>'KO32 útěcha'!$B$34</f>
        <v>0</v>
      </c>
      <c r="F9" s="3" t="str">
        <f>IF($E9=0,"bye",VLOOKUP($E9,seznam!$A$2:$D$51,2))</f>
        <v>bye</v>
      </c>
      <c r="G9" s="3">
        <f>IF($E9=0,"",VLOOKUP($E9,seznam!$A$2:$E$51,4))</f>
      </c>
      <c r="H9" s="256"/>
      <c r="I9" s="257"/>
      <c r="J9" s="257"/>
      <c r="K9" s="257"/>
      <c r="L9" s="258"/>
      <c r="M9" s="3">
        <f t="shared" si="0"/>
        <v>0</v>
      </c>
      <c r="N9" s="3">
        <f t="shared" si="1"/>
        <v>0</v>
      </c>
      <c r="O9" s="3">
        <f t="shared" si="2"/>
        <v>0</v>
      </c>
      <c r="P9" s="3">
        <f>IF($O9=0,"",VLOOKUP($O9,seznam!$A$2:$D$51,2))</f>
      </c>
      <c r="Q9" s="3">
        <f t="shared" si="3"/>
      </c>
      <c r="R9" s="3">
        <f t="shared" si="4"/>
      </c>
      <c r="T9" s="4">
        <f t="shared" si="5"/>
        <v>0</v>
      </c>
      <c r="U9" s="4">
        <f t="shared" si="6"/>
        <v>0</v>
      </c>
      <c r="V9" s="4">
        <f t="shared" si="7"/>
        <v>0</v>
      </c>
      <c r="W9" s="4">
        <f t="shared" si="8"/>
        <v>0</v>
      </c>
      <c r="X9" s="4">
        <f t="shared" si="9"/>
        <v>0</v>
      </c>
    </row>
    <row r="10" spans="1:24" ht="12.75">
      <c r="A10" s="3" t="str">
        <f t="shared" si="10"/>
        <v>Útěcha - 1. kolo</v>
      </c>
      <c r="B10" s="238">
        <f>'KO32 útěcha'!B36</f>
        <v>0</v>
      </c>
      <c r="C10" s="3" t="str">
        <f>IF($B10=0,"bye",VLOOKUP($B10,seznam!$A$2:$D$51,2))</f>
        <v>bye</v>
      </c>
      <c r="D10" s="3">
        <f>IF($B10=0,"",VLOOKUP($B10,seznam!$A$2:$E$51,4))</f>
      </c>
      <c r="E10" s="238">
        <f>'KO32 útěcha'!$B$38</f>
        <v>0</v>
      </c>
      <c r="F10" s="3" t="str">
        <f>IF($E10=0,"bye",VLOOKUP($E10,seznam!$A$2:$D$51,2))</f>
        <v>bye</v>
      </c>
      <c r="G10" s="3">
        <f>IF($E10=0,"",VLOOKUP($E10,seznam!$A$2:$E$51,4))</f>
      </c>
      <c r="H10" s="256"/>
      <c r="I10" s="257"/>
      <c r="J10" s="257"/>
      <c r="K10" s="257"/>
      <c r="L10" s="258"/>
      <c r="M10" s="3">
        <f t="shared" si="0"/>
        <v>0</v>
      </c>
      <c r="N10" s="3">
        <f t="shared" si="1"/>
        <v>0</v>
      </c>
      <c r="O10" s="3">
        <f t="shared" si="2"/>
        <v>0</v>
      </c>
      <c r="P10" s="3">
        <f>IF($O10=0,"",VLOOKUP($O10,seznam!$A$2:$D$51,2))</f>
      </c>
      <c r="Q10" s="3">
        <f t="shared" si="3"/>
      </c>
      <c r="R10" s="3">
        <f t="shared" si="4"/>
      </c>
      <c r="T10" s="4">
        <f t="shared" si="5"/>
        <v>0</v>
      </c>
      <c r="U10" s="4">
        <f t="shared" si="6"/>
        <v>0</v>
      </c>
      <c r="V10" s="4">
        <f t="shared" si="7"/>
        <v>0</v>
      </c>
      <c r="W10" s="4">
        <f t="shared" si="8"/>
        <v>0</v>
      </c>
      <c r="X10" s="4">
        <f t="shared" si="9"/>
        <v>0</v>
      </c>
    </row>
    <row r="11" spans="1:24" ht="12.75">
      <c r="A11" s="3" t="str">
        <f t="shared" si="10"/>
        <v>Útěcha - 1. kolo</v>
      </c>
      <c r="B11" s="238">
        <f>'KO32 útěcha'!B40</f>
        <v>0</v>
      </c>
      <c r="C11" s="3" t="str">
        <f>IF($B11=0,"bye",VLOOKUP($B11,seznam!$A$2:$D$51,2))</f>
        <v>bye</v>
      </c>
      <c r="D11" s="3">
        <f>IF($B11=0,"",VLOOKUP($B11,seznam!$A$2:$E$51,4))</f>
      </c>
      <c r="E11" s="238">
        <f>'KO32 útěcha'!$B$42</f>
        <v>0</v>
      </c>
      <c r="F11" s="3" t="str">
        <f>IF($E11=0,"bye",VLOOKUP($E11,seznam!$A$2:$D$51,2))</f>
        <v>bye</v>
      </c>
      <c r="G11" s="3">
        <f>IF($E11=0,"",VLOOKUP($E11,seznam!$A$2:$E$51,4))</f>
      </c>
      <c r="H11" s="256"/>
      <c r="I11" s="257"/>
      <c r="J11" s="257"/>
      <c r="K11" s="257"/>
      <c r="L11" s="258"/>
      <c r="M11" s="3">
        <f t="shared" si="0"/>
        <v>0</v>
      </c>
      <c r="N11" s="3">
        <f t="shared" si="1"/>
        <v>0</v>
      </c>
      <c r="O11" s="3">
        <f t="shared" si="2"/>
        <v>0</v>
      </c>
      <c r="P11" s="3">
        <f>IF($O11=0,"",VLOOKUP($O11,seznam!$A$2:$D$51,2))</f>
      </c>
      <c r="Q11" s="3">
        <f t="shared" si="3"/>
      </c>
      <c r="R11" s="3">
        <f t="shared" si="4"/>
      </c>
      <c r="T11" s="4">
        <f t="shared" si="5"/>
        <v>0</v>
      </c>
      <c r="U11" s="4">
        <f t="shared" si="6"/>
        <v>0</v>
      </c>
      <c r="V11" s="4">
        <f t="shared" si="7"/>
        <v>0</v>
      </c>
      <c r="W11" s="4">
        <f t="shared" si="8"/>
        <v>0</v>
      </c>
      <c r="X11" s="4">
        <f t="shared" si="9"/>
        <v>0</v>
      </c>
    </row>
    <row r="12" spans="1:24" ht="12.75">
      <c r="A12" s="3" t="str">
        <f t="shared" si="10"/>
        <v>Útěcha - 1. kolo</v>
      </c>
      <c r="B12" s="238">
        <f>'KO32 útěcha'!B44</f>
        <v>0</v>
      </c>
      <c r="C12" s="3" t="str">
        <f>IF($B12=0,"bye",VLOOKUP($B12,seznam!$A$2:$D$51,2))</f>
        <v>bye</v>
      </c>
      <c r="D12" s="3">
        <f>IF($B12=0,"",VLOOKUP($B12,seznam!$A$2:$E$51,4))</f>
      </c>
      <c r="E12" s="238">
        <f>'KO32 útěcha'!$B$46</f>
        <v>0</v>
      </c>
      <c r="F12" s="3" t="str">
        <f>IF($E12=0,"bye",VLOOKUP($E12,seznam!$A$2:$D$51,2))</f>
        <v>bye</v>
      </c>
      <c r="G12" s="3">
        <f>IF($E12=0,"",VLOOKUP($E12,seznam!$A$2:$E$51,4))</f>
      </c>
      <c r="H12" s="256"/>
      <c r="I12" s="257"/>
      <c r="J12" s="257"/>
      <c r="K12" s="257"/>
      <c r="L12" s="258"/>
      <c r="M12" s="3">
        <f t="shared" si="0"/>
        <v>0</v>
      </c>
      <c r="N12" s="3">
        <f t="shared" si="1"/>
        <v>0</v>
      </c>
      <c r="O12" s="3">
        <f t="shared" si="2"/>
        <v>0</v>
      </c>
      <c r="P12" s="3">
        <f>IF($O12=0,"",VLOOKUP($O12,seznam!$A$2:$D$51,2))</f>
      </c>
      <c r="Q12" s="3">
        <f t="shared" si="3"/>
      </c>
      <c r="R12" s="3">
        <f t="shared" si="4"/>
      </c>
      <c r="T12" s="4">
        <f t="shared" si="5"/>
        <v>0</v>
      </c>
      <c r="U12" s="4">
        <f t="shared" si="6"/>
        <v>0</v>
      </c>
      <c r="V12" s="4">
        <f t="shared" si="7"/>
        <v>0</v>
      </c>
      <c r="W12" s="4">
        <f t="shared" si="8"/>
        <v>0</v>
      </c>
      <c r="X12" s="4">
        <f t="shared" si="9"/>
        <v>0</v>
      </c>
    </row>
    <row r="13" spans="1:24" ht="12.75">
      <c r="A13" s="3" t="str">
        <f t="shared" si="10"/>
        <v>Útěcha - 1. kolo</v>
      </c>
      <c r="B13" s="238">
        <f>'KO32 útěcha'!B48</f>
        <v>0</v>
      </c>
      <c r="C13" s="3" t="str">
        <f>IF($B13=0,"bye",VLOOKUP($B13,seznam!$A$2:$D$51,2))</f>
        <v>bye</v>
      </c>
      <c r="D13" s="3">
        <f>IF($B13=0,"",VLOOKUP($B13,seznam!$A$2:$E$51,4))</f>
      </c>
      <c r="E13" s="238">
        <f>'KO32 útěcha'!$B$50</f>
        <v>0</v>
      </c>
      <c r="F13" s="3" t="str">
        <f>IF($E13=0,"bye",VLOOKUP($E13,seznam!$A$2:$D$51,2))</f>
        <v>bye</v>
      </c>
      <c r="G13" s="3">
        <f>IF($E13=0,"",VLOOKUP($E13,seznam!$A$2:$E$51,4))</f>
      </c>
      <c r="H13" s="256"/>
      <c r="I13" s="257"/>
      <c r="J13" s="257"/>
      <c r="K13" s="257"/>
      <c r="L13" s="258"/>
      <c r="M13" s="3">
        <f t="shared" si="0"/>
        <v>0</v>
      </c>
      <c r="N13" s="3">
        <f t="shared" si="1"/>
        <v>0</v>
      </c>
      <c r="O13" s="3">
        <f t="shared" si="2"/>
        <v>0</v>
      </c>
      <c r="P13" s="3">
        <f>IF($O13=0,"",VLOOKUP($O13,seznam!$A$2:$D$51,2))</f>
      </c>
      <c r="Q13" s="3">
        <f t="shared" si="3"/>
      </c>
      <c r="R13" s="3">
        <f t="shared" si="4"/>
      </c>
      <c r="T13" s="4">
        <f t="shared" si="5"/>
        <v>0</v>
      </c>
      <c r="U13" s="4">
        <f t="shared" si="6"/>
        <v>0</v>
      </c>
      <c r="V13" s="4">
        <f t="shared" si="7"/>
        <v>0</v>
      </c>
      <c r="W13" s="4">
        <f t="shared" si="8"/>
        <v>0</v>
      </c>
      <c r="X13" s="4">
        <f t="shared" si="9"/>
        <v>0</v>
      </c>
    </row>
    <row r="14" spans="1:24" ht="12.75">
      <c r="A14" s="3" t="str">
        <f t="shared" si="10"/>
        <v>Útěcha - 1. kolo</v>
      </c>
      <c r="B14" s="238">
        <f>'KO32 útěcha'!B52</f>
        <v>0</v>
      </c>
      <c r="C14" s="3" t="str">
        <f>IF($B14=0,"bye",VLOOKUP($B14,seznam!$A$2:$D$51,2))</f>
        <v>bye</v>
      </c>
      <c r="D14" s="3">
        <f>IF($B14=0,"",VLOOKUP($B14,seznam!$A$2:$E$51,4))</f>
      </c>
      <c r="E14" s="238">
        <f>'KO32 útěcha'!$B$54</f>
        <v>0</v>
      </c>
      <c r="F14" s="3" t="str">
        <f>IF($E14=0,"bye",VLOOKUP($E14,seznam!$A$2:$D$51,2))</f>
        <v>bye</v>
      </c>
      <c r="G14" s="3">
        <f>IF($E14=0,"",VLOOKUP($E14,seznam!$A$2:$E$51,4))</f>
      </c>
      <c r="H14" s="256"/>
      <c r="I14" s="257"/>
      <c r="J14" s="257"/>
      <c r="K14" s="257"/>
      <c r="L14" s="258"/>
      <c r="M14" s="3">
        <f t="shared" si="0"/>
        <v>0</v>
      </c>
      <c r="N14" s="3">
        <f t="shared" si="1"/>
        <v>0</v>
      </c>
      <c r="O14" s="3">
        <f t="shared" si="2"/>
        <v>0</v>
      </c>
      <c r="P14" s="3">
        <f>IF($O14=0,"",VLOOKUP($O14,seznam!$A$2:$D$51,2))</f>
      </c>
      <c r="Q14" s="3">
        <f t="shared" si="3"/>
      </c>
      <c r="R14" s="3">
        <f t="shared" si="4"/>
      </c>
      <c r="T14" s="4">
        <f t="shared" si="5"/>
        <v>0</v>
      </c>
      <c r="U14" s="4">
        <f t="shared" si="6"/>
        <v>0</v>
      </c>
      <c r="V14" s="4">
        <f t="shared" si="7"/>
        <v>0</v>
      </c>
      <c r="W14" s="4">
        <f t="shared" si="8"/>
        <v>0</v>
      </c>
      <c r="X14" s="4">
        <f t="shared" si="9"/>
        <v>0</v>
      </c>
    </row>
    <row r="15" spans="1:24" ht="12.75">
      <c r="A15" s="3" t="str">
        <f t="shared" si="10"/>
        <v>Útěcha - 1. kolo</v>
      </c>
      <c r="B15" s="238">
        <f>'KO32 útěcha'!B56</f>
        <v>0</v>
      </c>
      <c r="C15" s="3" t="str">
        <f>IF($B15=0,"bye",VLOOKUP($B15,seznam!$A$2:$D$51,2))</f>
        <v>bye</v>
      </c>
      <c r="D15" s="3">
        <f>IF($B15=0,"",VLOOKUP($B15,seznam!$A$2:$E$51,4))</f>
      </c>
      <c r="E15" s="238">
        <f>'KO32 útěcha'!$B$58</f>
        <v>0</v>
      </c>
      <c r="F15" s="3" t="str">
        <f>IF($E15=0,"bye",VLOOKUP($E15,seznam!$A$2:$D$51,2))</f>
        <v>bye</v>
      </c>
      <c r="G15" s="3">
        <f>IF($E15=0,"",VLOOKUP($E15,seznam!$A$2:$E$51,4))</f>
      </c>
      <c r="H15" s="256"/>
      <c r="I15" s="257"/>
      <c r="J15" s="257"/>
      <c r="K15" s="257"/>
      <c r="L15" s="258"/>
      <c r="M15" s="3">
        <f t="shared" si="0"/>
        <v>0</v>
      </c>
      <c r="N15" s="3">
        <f t="shared" si="1"/>
        <v>0</v>
      </c>
      <c r="O15" s="3">
        <f t="shared" si="2"/>
        <v>0</v>
      </c>
      <c r="P15" s="3">
        <f>IF($O15=0,"",VLOOKUP($O15,seznam!$A$2:$D$51,2))</f>
      </c>
      <c r="Q15" s="3">
        <f t="shared" si="3"/>
      </c>
      <c r="R15" s="3">
        <f t="shared" si="4"/>
      </c>
      <c r="T15" s="4">
        <f t="shared" si="5"/>
        <v>0</v>
      </c>
      <c r="U15" s="4">
        <f t="shared" si="6"/>
        <v>0</v>
      </c>
      <c r="V15" s="4">
        <f t="shared" si="7"/>
        <v>0</v>
      </c>
      <c r="W15" s="4">
        <f t="shared" si="8"/>
        <v>0</v>
      </c>
      <c r="X15" s="4">
        <f t="shared" si="9"/>
        <v>0</v>
      </c>
    </row>
    <row r="16" spans="1:24" ht="12.75">
      <c r="A16" s="3" t="str">
        <f t="shared" si="10"/>
        <v>Útěcha - 1. kolo</v>
      </c>
      <c r="B16" s="238">
        <f>'KO32 útěcha'!B60</f>
        <v>0</v>
      </c>
      <c r="C16" s="3" t="str">
        <f>IF($B16=0,"bye",VLOOKUP($B16,seznam!$A$2:$D$51,2))</f>
        <v>bye</v>
      </c>
      <c r="D16" s="3">
        <f>IF($B16=0,"",VLOOKUP($B16,seznam!$A$2:$E$51,4))</f>
      </c>
      <c r="E16" s="238">
        <f>'KO32 útěcha'!$B$62</f>
        <v>0</v>
      </c>
      <c r="F16" s="3" t="str">
        <f>IF($E16=0,"bye",VLOOKUP($E16,seznam!$A$2:$D$51,2))</f>
        <v>bye</v>
      </c>
      <c r="G16" s="3">
        <f>IF($E16=0,"",VLOOKUP($E16,seznam!$A$2:$E$51,4))</f>
      </c>
      <c r="H16" s="256"/>
      <c r="I16" s="257"/>
      <c r="J16" s="257"/>
      <c r="K16" s="257"/>
      <c r="L16" s="258"/>
      <c r="M16" s="3">
        <f t="shared" si="0"/>
        <v>0</v>
      </c>
      <c r="N16" s="3">
        <f t="shared" si="1"/>
        <v>0</v>
      </c>
      <c r="O16" s="3">
        <f t="shared" si="2"/>
        <v>0</v>
      </c>
      <c r="P16" s="3">
        <f>IF($O16=0,"",VLOOKUP($O16,seznam!$A$2:$D$51,2))</f>
      </c>
      <c r="Q16" s="3">
        <f t="shared" si="3"/>
      </c>
      <c r="R16" s="3">
        <f t="shared" si="4"/>
      </c>
      <c r="T16" s="4">
        <f t="shared" si="5"/>
        <v>0</v>
      </c>
      <c r="U16" s="4">
        <f t="shared" si="6"/>
        <v>0</v>
      </c>
      <c r="V16" s="4">
        <f t="shared" si="7"/>
        <v>0</v>
      </c>
      <c r="W16" s="4">
        <f t="shared" si="8"/>
        <v>0</v>
      </c>
      <c r="X16" s="4">
        <f t="shared" si="9"/>
        <v>0</v>
      </c>
    </row>
    <row r="17" spans="1:24" ht="13.5" thickBot="1">
      <c r="A17" s="3" t="str">
        <f t="shared" si="10"/>
        <v>Útěcha - 1. kolo</v>
      </c>
      <c r="B17" s="238">
        <f>'KO32 útěcha'!B64</f>
        <v>0</v>
      </c>
      <c r="C17" s="3" t="str">
        <f>IF($B17=0,"bye",VLOOKUP($B17,seznam!$A$2:$D$51,2))</f>
        <v>bye</v>
      </c>
      <c r="D17" s="3">
        <f>IF($B17=0,"",VLOOKUP($B17,seznam!$A$2:$E$51,4))</f>
      </c>
      <c r="E17" s="238">
        <f>'KO32 útěcha'!$B$66</f>
        <v>0</v>
      </c>
      <c r="F17" s="3" t="str">
        <f>IF($E17=0,"bye",VLOOKUP($E17,seznam!$A$2:$D$51,2))</f>
        <v>bye</v>
      </c>
      <c r="G17" s="3">
        <f>IF($E17=0,"",VLOOKUP($E17,seznam!$A$2:$E$51,4))</f>
      </c>
      <c r="H17" s="259"/>
      <c r="I17" s="260"/>
      <c r="J17" s="260"/>
      <c r="K17" s="260"/>
      <c r="L17" s="261"/>
      <c r="M17" s="3">
        <f t="shared" si="0"/>
        <v>0</v>
      </c>
      <c r="N17" s="3">
        <f t="shared" si="1"/>
        <v>0</v>
      </c>
      <c r="O17" s="3">
        <f t="shared" si="2"/>
        <v>0</v>
      </c>
      <c r="P17" s="3">
        <f>IF($O17=0,"",VLOOKUP($O17,seznam!$A$2:$D$51,2))</f>
      </c>
      <c r="Q17" s="3">
        <f t="shared" si="3"/>
      </c>
      <c r="R17" s="3">
        <f t="shared" si="4"/>
      </c>
      <c r="T17" s="4">
        <f t="shared" si="5"/>
        <v>0</v>
      </c>
      <c r="U17" s="4">
        <f t="shared" si="6"/>
        <v>0</v>
      </c>
      <c r="V17" s="4">
        <f t="shared" si="7"/>
        <v>0</v>
      </c>
      <c r="W17" s="4">
        <f t="shared" si="8"/>
        <v>0</v>
      </c>
      <c r="X17" s="4">
        <f t="shared" si="9"/>
        <v>0</v>
      </c>
    </row>
    <row r="18" spans="8:12" ht="14.25" thickBot="1" thickTop="1">
      <c r="H18" s="62"/>
      <c r="I18" s="62"/>
      <c r="J18" s="62"/>
      <c r="K18" s="62"/>
      <c r="L18" s="62"/>
    </row>
    <row r="19" spans="1:24" ht="13.5" thickTop="1">
      <c r="A19" s="3" t="str">
        <f>CONCATENATE("Útěcha - 2. kolo")</f>
        <v>Útěcha - 2. kolo</v>
      </c>
      <c r="B19" s="238">
        <f>O2</f>
        <v>0</v>
      </c>
      <c r="C19" s="3">
        <f>IF($B19=0,"",VLOOKUP($B19,seznam!$A$2:$D$51,2))</f>
      </c>
      <c r="D19" s="3">
        <f>IF($B19=0,"",VLOOKUP($B19,seznam!$A$2:$E$51,4))</f>
      </c>
      <c r="E19" s="238">
        <f>O3</f>
        <v>0</v>
      </c>
      <c r="F19" s="3">
        <f>IF($E19=0,"",VLOOKUP($E19,seznam!$A$2:$D$51,2))</f>
      </c>
      <c r="G19" s="3">
        <f>IF($E19=0,"",VLOOKUP($E19,seznam!$A$2:$E$51,4))</f>
      </c>
      <c r="H19" s="253"/>
      <c r="I19" s="254"/>
      <c r="J19" s="254"/>
      <c r="K19" s="254"/>
      <c r="L19" s="255"/>
      <c r="M19" s="3">
        <f aca="true" t="shared" si="11" ref="M19:M26">COUNTIF(T19:X19,"&gt;0")</f>
        <v>0</v>
      </c>
      <c r="N19" s="3">
        <f aca="true" t="shared" si="12" ref="N19:N26">COUNTIF(T19:X19,"&lt;0")</f>
        <v>0</v>
      </c>
      <c r="O19" s="3">
        <f aca="true" t="shared" si="13" ref="O19:O26">IF(M19=N19,0,IF(M19&gt;N19,B19,E19))</f>
        <v>0</v>
      </c>
      <c r="P19" s="3">
        <f>IF($O19=0,"",VLOOKUP($O19,seznam!$A$2:$D$51,2))</f>
      </c>
      <c r="Q19" s="3">
        <f aca="true" t="shared" si="14" ref="Q19:Q26"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</c>
      <c r="R19" s="3">
        <f aca="true" t="shared" si="15" ref="R19:R26">IF(MAX(M19:N19)=3,Q19,"")</f>
      </c>
      <c r="T19" s="4">
        <f aca="true" t="shared" si="16" ref="T19:X26">IF(H19="",0,IF(MID(H19,1,1)="-",-1,1))</f>
        <v>0</v>
      </c>
      <c r="U19" s="4">
        <f t="shared" si="16"/>
        <v>0</v>
      </c>
      <c r="V19" s="4">
        <f t="shared" si="16"/>
        <v>0</v>
      </c>
      <c r="W19" s="4">
        <f t="shared" si="16"/>
        <v>0</v>
      </c>
      <c r="X19" s="4">
        <f t="shared" si="16"/>
        <v>0</v>
      </c>
    </row>
    <row r="20" spans="1:24" ht="12.75">
      <c r="A20" s="3" t="str">
        <f aca="true" t="shared" si="17" ref="A20:A26">CONCATENATE("Útěcha - 2. kolo")</f>
        <v>Útěcha - 2. kolo</v>
      </c>
      <c r="B20" s="238">
        <f>O4</f>
        <v>0</v>
      </c>
      <c r="C20" s="3">
        <f>IF($B20=0,"",VLOOKUP($B20,seznam!$A$2:$D$51,2))</f>
      </c>
      <c r="D20" s="3">
        <f>IF($B20=0,"",VLOOKUP($B20,seznam!$A$2:$E$51,4))</f>
      </c>
      <c r="E20" s="238">
        <f>O5</f>
        <v>0</v>
      </c>
      <c r="F20" s="3">
        <f>IF($E20=0,"",VLOOKUP($E20,seznam!$A$2:$D$51,2))</f>
      </c>
      <c r="G20" s="3">
        <f>IF($E20=0,"",VLOOKUP($E20,seznam!$A$2:$E$51,4))</f>
      </c>
      <c r="H20" s="256"/>
      <c r="I20" s="257"/>
      <c r="J20" s="257"/>
      <c r="K20" s="257"/>
      <c r="L20" s="258"/>
      <c r="M20" s="3">
        <f t="shared" si="11"/>
        <v>0</v>
      </c>
      <c r="N20" s="3">
        <f t="shared" si="12"/>
        <v>0</v>
      </c>
      <c r="O20" s="3">
        <f t="shared" si="13"/>
        <v>0</v>
      </c>
      <c r="P20" s="3">
        <f>IF($O20=0,"",VLOOKUP($O20,seznam!$A$2:$D$51,2))</f>
      </c>
      <c r="Q20" s="3">
        <f t="shared" si="14"/>
      </c>
      <c r="R20" s="3">
        <f t="shared" si="15"/>
      </c>
      <c r="T20" s="4">
        <f t="shared" si="16"/>
        <v>0</v>
      </c>
      <c r="U20" s="4">
        <f t="shared" si="16"/>
        <v>0</v>
      </c>
      <c r="V20" s="4">
        <f t="shared" si="16"/>
        <v>0</v>
      </c>
      <c r="W20" s="4">
        <f t="shared" si="16"/>
        <v>0</v>
      </c>
      <c r="X20" s="4">
        <f t="shared" si="16"/>
        <v>0</v>
      </c>
    </row>
    <row r="21" spans="1:24" ht="12.75">
      <c r="A21" s="3" t="str">
        <f t="shared" si="17"/>
        <v>Útěcha - 2. kolo</v>
      </c>
      <c r="B21" s="238">
        <f>O6</f>
        <v>0</v>
      </c>
      <c r="C21" s="3">
        <f>IF($B21=0,"",VLOOKUP($B21,seznam!$A$2:$D$51,2))</f>
      </c>
      <c r="D21" s="3">
        <f>IF($B21=0,"",VLOOKUP($B21,seznam!$A$2:$E$51,4))</f>
      </c>
      <c r="E21" s="238">
        <f>O7</f>
        <v>0</v>
      </c>
      <c r="F21" s="3">
        <f>IF($E21=0,"",VLOOKUP($E21,seznam!$A$2:$D$51,2))</f>
      </c>
      <c r="G21" s="3">
        <f>IF($E21=0,"",VLOOKUP($E21,seznam!$A$2:$E$51,4))</f>
      </c>
      <c r="H21" s="256"/>
      <c r="I21" s="257"/>
      <c r="J21" s="257"/>
      <c r="K21" s="257"/>
      <c r="L21" s="258"/>
      <c r="M21" s="3">
        <f t="shared" si="11"/>
        <v>0</v>
      </c>
      <c r="N21" s="3">
        <f t="shared" si="12"/>
        <v>0</v>
      </c>
      <c r="O21" s="3">
        <f t="shared" si="13"/>
        <v>0</v>
      </c>
      <c r="P21" s="3">
        <f>IF($O21=0,"",VLOOKUP($O21,seznam!$A$2:$D$51,2))</f>
      </c>
      <c r="Q21" s="3">
        <f t="shared" si="14"/>
      </c>
      <c r="R21" s="3">
        <f t="shared" si="15"/>
      </c>
      <c r="T21" s="4">
        <f t="shared" si="16"/>
        <v>0</v>
      </c>
      <c r="U21" s="4">
        <f t="shared" si="16"/>
        <v>0</v>
      </c>
      <c r="V21" s="4">
        <f t="shared" si="16"/>
        <v>0</v>
      </c>
      <c r="W21" s="4">
        <f t="shared" si="16"/>
        <v>0</v>
      </c>
      <c r="X21" s="4">
        <f t="shared" si="16"/>
        <v>0</v>
      </c>
    </row>
    <row r="22" spans="1:24" ht="12.75">
      <c r="A22" s="3" t="str">
        <f t="shared" si="17"/>
        <v>Útěcha - 2. kolo</v>
      </c>
      <c r="B22" s="238">
        <f>O8</f>
        <v>0</v>
      </c>
      <c r="C22" s="3">
        <f>IF($B22=0,"",VLOOKUP($B22,seznam!$A$2:$D$51,2))</f>
      </c>
      <c r="D22" s="3">
        <f>IF($B22=0,"",VLOOKUP($B22,seznam!$A$2:$E$51,4))</f>
      </c>
      <c r="E22" s="238">
        <f>O9</f>
        <v>0</v>
      </c>
      <c r="F22" s="3">
        <f>IF($E22=0,"",VLOOKUP($E22,seznam!$A$2:$D$51,2))</f>
      </c>
      <c r="G22" s="3">
        <f>IF($E22=0,"",VLOOKUP($E22,seznam!$A$2:$E$51,4))</f>
      </c>
      <c r="H22" s="256"/>
      <c r="I22" s="257"/>
      <c r="J22" s="257"/>
      <c r="K22" s="257"/>
      <c r="L22" s="258"/>
      <c r="M22" s="3">
        <f t="shared" si="11"/>
        <v>0</v>
      </c>
      <c r="N22" s="3">
        <f t="shared" si="12"/>
        <v>0</v>
      </c>
      <c r="O22" s="3">
        <f t="shared" si="13"/>
        <v>0</v>
      </c>
      <c r="P22" s="3">
        <f>IF($O22=0,"",VLOOKUP($O22,seznam!$A$2:$D$51,2))</f>
      </c>
      <c r="Q22" s="3">
        <f t="shared" si="14"/>
      </c>
      <c r="R22" s="3">
        <f t="shared" si="15"/>
      </c>
      <c r="T22" s="4">
        <f t="shared" si="16"/>
        <v>0</v>
      </c>
      <c r="U22" s="4">
        <f t="shared" si="16"/>
        <v>0</v>
      </c>
      <c r="V22" s="4">
        <f t="shared" si="16"/>
        <v>0</v>
      </c>
      <c r="W22" s="4">
        <f t="shared" si="16"/>
        <v>0</v>
      </c>
      <c r="X22" s="4">
        <f t="shared" si="16"/>
        <v>0</v>
      </c>
    </row>
    <row r="23" spans="1:24" ht="12.75">
      <c r="A23" s="3" t="str">
        <f t="shared" si="17"/>
        <v>Útěcha - 2. kolo</v>
      </c>
      <c r="B23" s="238">
        <f>O10</f>
        <v>0</v>
      </c>
      <c r="C23" s="3">
        <f>IF($B23=0,"",VLOOKUP($B23,seznam!$A$2:$D$51,2))</f>
      </c>
      <c r="D23" s="3">
        <f>IF($B23=0,"",VLOOKUP($B23,seznam!$A$2:$E$51,4))</f>
      </c>
      <c r="E23" s="238">
        <f>O11</f>
        <v>0</v>
      </c>
      <c r="F23" s="3">
        <f>IF($E23=0,"",VLOOKUP($E23,seznam!$A$2:$D$51,2))</f>
      </c>
      <c r="G23" s="3">
        <f>IF($E23=0,"",VLOOKUP($E23,seznam!$A$2:$E$51,4))</f>
      </c>
      <c r="H23" s="256"/>
      <c r="I23" s="257"/>
      <c r="J23" s="257"/>
      <c r="K23" s="257"/>
      <c r="L23" s="258"/>
      <c r="M23" s="3">
        <f t="shared" si="11"/>
        <v>0</v>
      </c>
      <c r="N23" s="3">
        <f t="shared" si="12"/>
        <v>0</v>
      </c>
      <c r="O23" s="3">
        <f t="shared" si="13"/>
        <v>0</v>
      </c>
      <c r="P23" s="3">
        <f>IF($O23=0,"",VLOOKUP($O23,seznam!$A$2:$D$51,2))</f>
      </c>
      <c r="Q23" s="3">
        <f t="shared" si="14"/>
      </c>
      <c r="R23" s="3">
        <f t="shared" si="15"/>
      </c>
      <c r="T23" s="4">
        <f t="shared" si="16"/>
        <v>0</v>
      </c>
      <c r="U23" s="4">
        <f t="shared" si="16"/>
        <v>0</v>
      </c>
      <c r="V23" s="4">
        <f t="shared" si="16"/>
        <v>0</v>
      </c>
      <c r="W23" s="4">
        <f t="shared" si="16"/>
        <v>0</v>
      </c>
      <c r="X23" s="4">
        <f t="shared" si="16"/>
        <v>0</v>
      </c>
    </row>
    <row r="24" spans="1:24" ht="12.75">
      <c r="A24" s="3" t="str">
        <f t="shared" si="17"/>
        <v>Útěcha - 2. kolo</v>
      </c>
      <c r="B24" s="238">
        <f>O12</f>
        <v>0</v>
      </c>
      <c r="C24" s="3">
        <f>IF($B24=0,"",VLOOKUP($B24,seznam!$A$2:$D$51,2))</f>
      </c>
      <c r="D24" s="3">
        <f>IF($B24=0,"",VLOOKUP($B24,seznam!$A$2:$E$51,4))</f>
      </c>
      <c r="E24" s="238">
        <f>O13</f>
        <v>0</v>
      </c>
      <c r="F24" s="3">
        <f>IF($E24=0,"",VLOOKUP($E24,seznam!$A$2:$D$51,2))</f>
      </c>
      <c r="G24" s="3">
        <f>IF($E24=0,"",VLOOKUP($E24,seznam!$A$2:$E$51,4))</f>
      </c>
      <c r="H24" s="256"/>
      <c r="I24" s="257"/>
      <c r="J24" s="257"/>
      <c r="K24" s="257"/>
      <c r="L24" s="258"/>
      <c r="M24" s="3">
        <f t="shared" si="11"/>
        <v>0</v>
      </c>
      <c r="N24" s="3">
        <f t="shared" si="12"/>
        <v>0</v>
      </c>
      <c r="O24" s="3">
        <f t="shared" si="13"/>
        <v>0</v>
      </c>
      <c r="P24" s="3">
        <f>IF($O24=0,"",VLOOKUP($O24,seznam!$A$2:$D$51,2))</f>
      </c>
      <c r="Q24" s="3">
        <f t="shared" si="14"/>
      </c>
      <c r="R24" s="3">
        <f t="shared" si="15"/>
      </c>
      <c r="T24" s="4">
        <f t="shared" si="16"/>
        <v>0</v>
      </c>
      <c r="U24" s="4">
        <f t="shared" si="16"/>
        <v>0</v>
      </c>
      <c r="V24" s="4">
        <f t="shared" si="16"/>
        <v>0</v>
      </c>
      <c r="W24" s="4">
        <f t="shared" si="16"/>
        <v>0</v>
      </c>
      <c r="X24" s="4">
        <f t="shared" si="16"/>
        <v>0</v>
      </c>
    </row>
    <row r="25" spans="1:24" ht="12.75">
      <c r="A25" s="3" t="str">
        <f t="shared" si="17"/>
        <v>Útěcha - 2. kolo</v>
      </c>
      <c r="B25" s="238">
        <f>O14</f>
        <v>0</v>
      </c>
      <c r="C25" s="3">
        <f>IF($B25=0,"",VLOOKUP($B25,seznam!$A$2:$D$51,2))</f>
      </c>
      <c r="D25" s="3">
        <f>IF($B25=0,"",VLOOKUP($B25,seznam!$A$2:$E$51,4))</f>
      </c>
      <c r="E25" s="238">
        <f>O15</f>
        <v>0</v>
      </c>
      <c r="F25" s="3">
        <f>IF($E25=0,"",VLOOKUP($E25,seznam!$A$2:$D$51,2))</f>
      </c>
      <c r="G25" s="3">
        <f>IF($E25=0,"",VLOOKUP($E25,seznam!$A$2:$E$51,4))</f>
      </c>
      <c r="H25" s="256"/>
      <c r="I25" s="257"/>
      <c r="J25" s="257"/>
      <c r="K25" s="257"/>
      <c r="L25" s="258"/>
      <c r="M25" s="3">
        <f t="shared" si="11"/>
        <v>0</v>
      </c>
      <c r="N25" s="3">
        <f t="shared" si="12"/>
        <v>0</v>
      </c>
      <c r="O25" s="3">
        <f t="shared" si="13"/>
        <v>0</v>
      </c>
      <c r="P25" s="3">
        <f>IF($O25=0,"",VLOOKUP($O25,seznam!$A$2:$D$51,2))</f>
      </c>
      <c r="Q25" s="3">
        <f t="shared" si="14"/>
      </c>
      <c r="R25" s="3">
        <f t="shared" si="15"/>
      </c>
      <c r="T25" s="4">
        <f t="shared" si="16"/>
        <v>0</v>
      </c>
      <c r="U25" s="4">
        <f t="shared" si="16"/>
        <v>0</v>
      </c>
      <c r="V25" s="4">
        <f t="shared" si="16"/>
        <v>0</v>
      </c>
      <c r="W25" s="4">
        <f t="shared" si="16"/>
        <v>0</v>
      </c>
      <c r="X25" s="4">
        <f t="shared" si="16"/>
        <v>0</v>
      </c>
    </row>
    <row r="26" spans="1:24" ht="13.5" thickBot="1">
      <c r="A26" s="3" t="str">
        <f t="shared" si="17"/>
        <v>Útěcha - 2. kolo</v>
      </c>
      <c r="B26" s="238">
        <f>O16</f>
        <v>0</v>
      </c>
      <c r="C26" s="3">
        <f>IF($B26=0,"",VLOOKUP($B26,seznam!$A$2:$D$51,2))</f>
      </c>
      <c r="D26" s="3">
        <f>IF($B26=0,"",VLOOKUP($B26,seznam!$A$2:$E$51,4))</f>
      </c>
      <c r="E26" s="238">
        <f>O17</f>
        <v>0</v>
      </c>
      <c r="F26" s="3">
        <f>IF($E26=0,"",VLOOKUP($E26,seznam!$A$2:$D$51,2))</f>
      </c>
      <c r="G26" s="3">
        <f>IF($E26=0,"",VLOOKUP($E26,seznam!$A$2:$E$51,4))</f>
      </c>
      <c r="H26" s="259"/>
      <c r="I26" s="260"/>
      <c r="J26" s="260"/>
      <c r="K26" s="260"/>
      <c r="L26" s="261"/>
      <c r="M26" s="3">
        <f t="shared" si="11"/>
        <v>0</v>
      </c>
      <c r="N26" s="3">
        <f t="shared" si="12"/>
        <v>0</v>
      </c>
      <c r="O26" s="3">
        <f t="shared" si="13"/>
        <v>0</v>
      </c>
      <c r="P26" s="3">
        <f>IF($O26=0,"",VLOOKUP($O26,seznam!$A$2:$D$51,2))</f>
      </c>
      <c r="Q26" s="3">
        <f t="shared" si="14"/>
      </c>
      <c r="R26" s="3">
        <f t="shared" si="15"/>
      </c>
      <c r="T26" s="4">
        <f t="shared" si="16"/>
        <v>0</v>
      </c>
      <c r="U26" s="4">
        <f t="shared" si="16"/>
        <v>0</v>
      </c>
      <c r="V26" s="4">
        <f t="shared" si="16"/>
        <v>0</v>
      </c>
      <c r="W26" s="4">
        <f t="shared" si="16"/>
        <v>0</v>
      </c>
      <c r="X26" s="4">
        <f t="shared" si="16"/>
        <v>0</v>
      </c>
    </row>
    <row r="27" spans="8:12" ht="14.25" thickBot="1" thickTop="1">
      <c r="H27" s="62"/>
      <c r="I27" s="62"/>
      <c r="J27" s="62"/>
      <c r="K27" s="62"/>
      <c r="L27" s="62"/>
    </row>
    <row r="28" spans="1:24" ht="13.5" thickTop="1">
      <c r="A28" s="3" t="str">
        <f>CONCATENATE("Útěcha - čtvrtfinále")</f>
        <v>Útěcha - čtvrtfinále</v>
      </c>
      <c r="B28" s="238">
        <f>O19</f>
        <v>0</v>
      </c>
      <c r="C28" s="3">
        <f>IF($B28=0,"",VLOOKUP($B28,seznam!$A$2:$D$51,2))</f>
      </c>
      <c r="D28" s="3">
        <f>IF($B28=0,"",VLOOKUP($B28,seznam!$A$2:$E$51,4))</f>
      </c>
      <c r="E28" s="238">
        <f>O20</f>
        <v>0</v>
      </c>
      <c r="F28" s="3">
        <f>IF($E28=0,"",VLOOKUP($E28,seznam!$A$2:$D$51,2))</f>
      </c>
      <c r="G28" s="3">
        <f>IF($E28=0,"",VLOOKUP($E28,seznam!$A$2:$E$51,4))</f>
      </c>
      <c r="H28" s="253"/>
      <c r="I28" s="254"/>
      <c r="J28" s="254"/>
      <c r="K28" s="254"/>
      <c r="L28" s="255"/>
      <c r="M28" s="3">
        <f>COUNTIF(T28:X28,"&gt;0")</f>
        <v>0</v>
      </c>
      <c r="N28" s="3">
        <f>COUNTIF(T28:X28,"&lt;0")</f>
        <v>0</v>
      </c>
      <c r="O28" s="3">
        <f>IF(M28=N28,0,IF(M28&gt;N28,B28,E28))</f>
        <v>0</v>
      </c>
      <c r="P28" s="3">
        <f>IF($O28=0,"",VLOOKUP($O28,seznam!$A$2:$D$51,2))</f>
      </c>
      <c r="Q28" s="3">
        <f>IF(M28=N28,"",IF(M28&gt;N28,CONCATENATE(M28,":",N28," (",H28,",",I28,",",J28,IF(SUM(M28:N28)&gt;3,",",""),K28,IF(SUM(M28:N28)&gt;4,",",""),L28,")"),CONCATENATE(N28,":",M28," (",IF(H28="0","-0",-H28),",",IF(I28="0","-0",-I28),",",IF(J28="0","-0",-J28),IF(SUM(M28:N28)&gt;3,CONCATENATE(",",IF(K28="0","-0",-K28)),""),IF(SUM(M28:N28)&gt;4,CONCATENATE(",",IF(L28="0","-0",-L28)),""),")")))</f>
      </c>
      <c r="R28" s="3">
        <f>IF(MAX(M28:N28)=3,Q28,"")</f>
      </c>
      <c r="T28" s="4">
        <f aca="true" t="shared" si="18" ref="T28:X31">IF(H28="",0,IF(MID(H28,1,1)="-",-1,1))</f>
        <v>0</v>
      </c>
      <c r="U28" s="4">
        <f t="shared" si="18"/>
        <v>0</v>
      </c>
      <c r="V28" s="4">
        <f t="shared" si="18"/>
        <v>0</v>
      </c>
      <c r="W28" s="4">
        <f t="shared" si="18"/>
        <v>0</v>
      </c>
      <c r="X28" s="4">
        <f t="shared" si="18"/>
        <v>0</v>
      </c>
    </row>
    <row r="29" spans="1:24" ht="12.75">
      <c r="A29" s="3" t="str">
        <f>CONCATENATE("Útěcha - čtvrtfinále")</f>
        <v>Útěcha - čtvrtfinále</v>
      </c>
      <c r="B29" s="238">
        <f>O21</f>
        <v>0</v>
      </c>
      <c r="C29" s="3">
        <f>IF($B29=0,"",VLOOKUP($B29,seznam!$A$2:$D$51,2))</f>
      </c>
      <c r="D29" s="3">
        <f>IF($B29=0,"",VLOOKUP($B29,seznam!$A$2:$E$51,4))</f>
      </c>
      <c r="E29" s="238">
        <f>O22</f>
        <v>0</v>
      </c>
      <c r="F29" s="3">
        <f>IF($E29=0,"",VLOOKUP($E29,seznam!$A$2:$D$51,2))</f>
      </c>
      <c r="G29" s="3">
        <f>IF($E29=0,"",VLOOKUP($E29,seznam!$A$2:$E$51,4))</f>
      </c>
      <c r="H29" s="256"/>
      <c r="I29" s="257"/>
      <c r="J29" s="257"/>
      <c r="K29" s="257"/>
      <c r="L29" s="258"/>
      <c r="M29" s="3">
        <f>COUNTIF(T29:X29,"&gt;0")</f>
        <v>0</v>
      </c>
      <c r="N29" s="3">
        <f>COUNTIF(T29:X29,"&lt;0")</f>
        <v>0</v>
      </c>
      <c r="O29" s="3">
        <f>IF(M29=N29,0,IF(M29&gt;N29,B29,E29))</f>
        <v>0</v>
      </c>
      <c r="P29" s="3">
        <f>IF($O29=0,"",VLOOKUP($O29,seznam!$A$2:$D$51,2))</f>
      </c>
      <c r="Q29" s="3">
        <f>IF(M29=N29,"",IF(M29&gt;N29,CONCATENATE(M29,":",N29," (",H29,",",I29,",",J29,IF(SUM(M29:N29)&gt;3,",",""),K29,IF(SUM(M29:N29)&gt;4,",",""),L29,")"),CONCATENATE(N29,":",M29," (",IF(H29="0","-0",-H29),",",IF(I29="0","-0",-I29),",",IF(J29="0","-0",-J29),IF(SUM(M29:N29)&gt;3,CONCATENATE(",",IF(K29="0","-0",-K29)),""),IF(SUM(M29:N29)&gt;4,CONCATENATE(",",IF(L29="0","-0",-L29)),""),")")))</f>
      </c>
      <c r="R29" s="3">
        <f>IF(MAX(M29:N29)=3,Q29,"")</f>
      </c>
      <c r="T29" s="4">
        <f t="shared" si="18"/>
        <v>0</v>
      </c>
      <c r="U29" s="4">
        <f t="shared" si="18"/>
        <v>0</v>
      </c>
      <c r="V29" s="4">
        <f t="shared" si="18"/>
        <v>0</v>
      </c>
      <c r="W29" s="4">
        <f t="shared" si="18"/>
        <v>0</v>
      </c>
      <c r="X29" s="4">
        <f t="shared" si="18"/>
        <v>0</v>
      </c>
    </row>
    <row r="30" spans="1:24" ht="12.75">
      <c r="A30" s="3" t="str">
        <f>CONCATENATE("Útěcha - čtvrtfinále")</f>
        <v>Útěcha - čtvrtfinále</v>
      </c>
      <c r="B30" s="238">
        <f>O23</f>
        <v>0</v>
      </c>
      <c r="C30" s="3">
        <f>IF($B30=0,"",VLOOKUP($B30,seznam!$A$2:$D$51,2))</f>
      </c>
      <c r="D30" s="3">
        <f>IF($B30=0,"",VLOOKUP($B30,seznam!$A$2:$E$51,4))</f>
      </c>
      <c r="E30" s="238">
        <f>O24</f>
        <v>0</v>
      </c>
      <c r="F30" s="3">
        <f>IF($E30=0,"",VLOOKUP($E30,seznam!$A$2:$D$51,2))</f>
      </c>
      <c r="G30" s="3">
        <f>IF($E30=0,"",VLOOKUP($E30,seznam!$A$2:$E$51,4))</f>
      </c>
      <c r="H30" s="256"/>
      <c r="I30" s="257"/>
      <c r="J30" s="257"/>
      <c r="K30" s="257"/>
      <c r="L30" s="258"/>
      <c r="M30" s="3">
        <f>COUNTIF(T30:X30,"&gt;0")</f>
        <v>0</v>
      </c>
      <c r="N30" s="3">
        <f>COUNTIF(T30:X30,"&lt;0")</f>
        <v>0</v>
      </c>
      <c r="O30" s="3">
        <f>IF(M30=N30,0,IF(M30&gt;N30,B30,E30))</f>
        <v>0</v>
      </c>
      <c r="P30" s="3">
        <f>IF($O30=0,"",VLOOKUP($O30,seznam!$A$2:$D$51,2))</f>
      </c>
      <c r="Q30" s="3">
        <f>IF(M30=N30,"",IF(M30&gt;N30,CONCATENATE(M30,":",N30," (",H30,",",I30,",",J30,IF(SUM(M30:N30)&gt;3,",",""),K30,IF(SUM(M30:N30)&gt;4,",",""),L30,")"),CONCATENATE(N30,":",M30," (",IF(H30="0","-0",-H30),",",IF(I30="0","-0",-I30),",",IF(J30="0","-0",-J30),IF(SUM(M30:N30)&gt;3,CONCATENATE(",",IF(K30="0","-0",-K30)),""),IF(SUM(M30:N30)&gt;4,CONCATENATE(",",IF(L30="0","-0",-L30)),""),")")))</f>
      </c>
      <c r="R30" s="3">
        <f>IF(MAX(M30:N30)=3,Q30,"")</f>
      </c>
      <c r="T30" s="4">
        <f t="shared" si="18"/>
        <v>0</v>
      </c>
      <c r="U30" s="4">
        <f t="shared" si="18"/>
        <v>0</v>
      </c>
      <c r="V30" s="4">
        <f t="shared" si="18"/>
        <v>0</v>
      </c>
      <c r="W30" s="4">
        <f t="shared" si="18"/>
        <v>0</v>
      </c>
      <c r="X30" s="4">
        <f t="shared" si="18"/>
        <v>0</v>
      </c>
    </row>
    <row r="31" spans="1:24" ht="13.5" thickBot="1">
      <c r="A31" s="3" t="str">
        <f>CONCATENATE("Útěcha - čtvrtfinále")</f>
        <v>Útěcha - čtvrtfinále</v>
      </c>
      <c r="B31" s="238">
        <f>O25</f>
        <v>0</v>
      </c>
      <c r="C31" s="3">
        <f>IF($B31=0,"",VLOOKUP($B31,seznam!$A$2:$D$51,2))</f>
      </c>
      <c r="D31" s="3">
        <f>IF($B31=0,"",VLOOKUP($B31,seznam!$A$2:$E$51,4))</f>
      </c>
      <c r="E31" s="238">
        <f>O26</f>
        <v>0</v>
      </c>
      <c r="F31" s="3">
        <f>IF($E31=0,"",VLOOKUP($E31,seznam!$A$2:$D$51,2))</f>
      </c>
      <c r="G31" s="3">
        <f>IF($E31=0,"",VLOOKUP($E31,seznam!$A$2:$E$51,4))</f>
      </c>
      <c r="H31" s="259"/>
      <c r="I31" s="260"/>
      <c r="J31" s="260"/>
      <c r="K31" s="260"/>
      <c r="L31" s="261"/>
      <c r="M31" s="3">
        <f>COUNTIF(T31:X31,"&gt;0")</f>
        <v>0</v>
      </c>
      <c r="N31" s="3">
        <f>COUNTIF(T31:X31,"&lt;0")</f>
        <v>0</v>
      </c>
      <c r="O31" s="3">
        <f>IF(M31=N31,0,IF(M31&gt;N31,B31,E31))</f>
        <v>0</v>
      </c>
      <c r="P31" s="3">
        <f>IF($O31=0,"",VLOOKUP($O31,seznam!$A$2:$D$51,2))</f>
      </c>
      <c r="Q31" s="3">
        <f>IF(M31=N31,"",IF(M31&gt;N31,CONCATENATE(M31,":",N31," (",H31,",",I31,",",J31,IF(SUM(M31:N31)&gt;3,",",""),K31,IF(SUM(M31:N31)&gt;4,",",""),L31,")"),CONCATENATE(N31,":",M31," (",IF(H31="0","-0",-H31),",",IF(I31="0","-0",-I31),",",IF(J31="0","-0",-J31),IF(SUM(M31:N31)&gt;3,CONCATENATE(",",IF(K31="0","-0",-K31)),""),IF(SUM(M31:N31)&gt;4,CONCATENATE(",",IF(L31="0","-0",-L31)),""),")")))</f>
      </c>
      <c r="R31" s="3">
        <f>IF(MAX(M31:N31)=3,Q31,"")</f>
      </c>
      <c r="T31" s="4">
        <f t="shared" si="18"/>
        <v>0</v>
      </c>
      <c r="U31" s="4">
        <f t="shared" si="18"/>
        <v>0</v>
      </c>
      <c r="V31" s="4">
        <f t="shared" si="18"/>
        <v>0</v>
      </c>
      <c r="W31" s="4">
        <f t="shared" si="18"/>
        <v>0</v>
      </c>
      <c r="X31" s="4">
        <f t="shared" si="18"/>
        <v>0</v>
      </c>
    </row>
    <row r="32" spans="8:12" ht="14.25" thickBot="1" thickTop="1">
      <c r="H32" s="62"/>
      <c r="I32" s="62"/>
      <c r="J32" s="62"/>
      <c r="K32" s="62"/>
      <c r="L32" s="62"/>
    </row>
    <row r="33" spans="1:24" ht="13.5" thickTop="1">
      <c r="A33" s="3" t="str">
        <f>CONCATENATE("Útěcha - semifinále")</f>
        <v>Útěcha - semifinále</v>
      </c>
      <c r="B33" s="238">
        <f>O28</f>
        <v>0</v>
      </c>
      <c r="C33" s="3">
        <f>IF($B33=0,"",VLOOKUP($B33,seznam!$A$2:$D$51,2))</f>
      </c>
      <c r="D33" s="3">
        <f>IF($B33=0,"",VLOOKUP($B33,seznam!$A$2:$E$51,4))</f>
      </c>
      <c r="E33" s="238">
        <f>O29</f>
        <v>0</v>
      </c>
      <c r="F33" s="3">
        <f>IF($E33=0,"",VLOOKUP($E33,seznam!$A$2:$D$51,2))</f>
      </c>
      <c r="G33" s="3">
        <f>IF($E33=0,"",VLOOKUP($E33,seznam!$A$2:$E$51,4))</f>
      </c>
      <c r="H33" s="253"/>
      <c r="I33" s="254"/>
      <c r="J33" s="254"/>
      <c r="K33" s="254"/>
      <c r="L33" s="255"/>
      <c r="M33" s="3">
        <f>COUNTIF(T33:X33,"&gt;0")</f>
        <v>0</v>
      </c>
      <c r="N33" s="3">
        <f>COUNTIF(T33:X33,"&lt;0")</f>
        <v>0</v>
      </c>
      <c r="O33" s="3">
        <f>IF(M33=N33,0,IF(M33&gt;N33,B33,E33))</f>
        <v>0</v>
      </c>
      <c r="P33" s="3">
        <f>IF($O33=0,"",VLOOKUP($O33,seznam!$A$2:$D$51,2))</f>
      </c>
      <c r="Q33" s="3">
        <f>IF(M33=N33,"",IF(M33&gt;N33,CONCATENATE(M33,":",N33," (",H33,",",I33,",",J33,IF(SUM(M33:N33)&gt;3,",",""),K33,IF(SUM(M33:N33)&gt;4,",",""),L33,")"),CONCATENATE(N33,":",M33," (",IF(H33="0","-0",-H33),",",IF(I33="0","-0",-I33),",",IF(J33="0","-0",-J33),IF(SUM(M33:N33)&gt;3,CONCATENATE(",",IF(K33="0","-0",-K33)),""),IF(SUM(M33:N33)&gt;4,CONCATENATE(",",IF(L33="0","-0",-L33)),""),")")))</f>
      </c>
      <c r="R33" s="3">
        <f>IF(MAX(M33:N33)=3,Q33,"")</f>
      </c>
      <c r="T33" s="4">
        <f aca="true" t="shared" si="19" ref="T33:X34">IF(H33="",0,IF(MID(H33,1,1)="-",-1,1))</f>
        <v>0</v>
      </c>
      <c r="U33" s="4">
        <f t="shared" si="19"/>
        <v>0</v>
      </c>
      <c r="V33" s="4">
        <f t="shared" si="19"/>
        <v>0</v>
      </c>
      <c r="W33" s="4">
        <f t="shared" si="19"/>
        <v>0</v>
      </c>
      <c r="X33" s="4">
        <f t="shared" si="19"/>
        <v>0</v>
      </c>
    </row>
    <row r="34" spans="1:24" ht="13.5" thickBot="1">
      <c r="A34" s="3" t="str">
        <f>CONCATENATE("Útěcha - semifinále")</f>
        <v>Útěcha - semifinále</v>
      </c>
      <c r="B34" s="238">
        <f>O30</f>
        <v>0</v>
      </c>
      <c r="C34" s="3">
        <f>IF($B34=0,"",VLOOKUP($B34,seznam!$A$2:$D$51,2))</f>
      </c>
      <c r="D34" s="3">
        <f>IF($B34=0,"",VLOOKUP($B34,seznam!$A$2:$E$51,4))</f>
      </c>
      <c r="E34" s="238">
        <f>O31</f>
        <v>0</v>
      </c>
      <c r="F34" s="3">
        <f>IF($E34=0,"",VLOOKUP($E34,seznam!$A$2:$D$51,2))</f>
      </c>
      <c r="G34" s="3">
        <f>IF($E34=0,"",VLOOKUP($E34,seznam!$A$2:$E$51,4))</f>
      </c>
      <c r="H34" s="259"/>
      <c r="I34" s="260"/>
      <c r="J34" s="260"/>
      <c r="K34" s="260"/>
      <c r="L34" s="261"/>
      <c r="M34" s="3">
        <f>COUNTIF(T34:X34,"&gt;0")</f>
        <v>0</v>
      </c>
      <c r="N34" s="3">
        <f>COUNTIF(T34:X34,"&lt;0")</f>
        <v>0</v>
      </c>
      <c r="O34" s="3">
        <f>IF(M34=N34,0,IF(M34&gt;N34,B34,E34))</f>
        <v>0</v>
      </c>
      <c r="P34" s="3">
        <f>IF($O34=0,"",VLOOKUP($O34,seznam!$A$2:$D$51,2))</f>
      </c>
      <c r="Q34" s="3">
        <f>IF(M34=N34,"",IF(M34&gt;N34,CONCATENATE(M34,":",N34," (",H34,",",I34,",",J34,IF(SUM(M34:N34)&gt;3,",",""),K34,IF(SUM(M34:N34)&gt;4,",",""),L34,")"),CONCATENATE(N34,":",M34," (",IF(H34="0","-0",-H34),",",IF(I34="0","-0",-I34),",",IF(J34="0","-0",-J34),IF(SUM(M34:N34)&gt;3,CONCATENATE(",",IF(K34="0","-0",-K34)),""),IF(SUM(M34:N34)&gt;4,CONCATENATE(",",IF(L34="0","-0",-L34)),""),")")))</f>
      </c>
      <c r="R34" s="3">
        <f>IF(MAX(M34:N34)=3,Q34,"")</f>
      </c>
      <c r="T34" s="4">
        <f t="shared" si="19"/>
        <v>0</v>
      </c>
      <c r="U34" s="4">
        <f t="shared" si="19"/>
        <v>0</v>
      </c>
      <c r="V34" s="4">
        <f t="shared" si="19"/>
        <v>0</v>
      </c>
      <c r="W34" s="4">
        <f t="shared" si="19"/>
        <v>0</v>
      </c>
      <c r="X34" s="4">
        <f t="shared" si="19"/>
        <v>0</v>
      </c>
    </row>
    <row r="35" ht="14.25" thickBot="1" thickTop="1"/>
    <row r="36" spans="1:24" ht="14.25" thickBot="1" thickTop="1">
      <c r="A36" s="3" t="str">
        <f>CONCATENATE("Útěcha - finále")</f>
        <v>Útěcha - finále</v>
      </c>
      <c r="B36" s="238">
        <f>O33</f>
        <v>0</v>
      </c>
      <c r="C36" s="3">
        <f>IF($B36=0,"",VLOOKUP($B36,seznam!$A$2:$D$51,2))</f>
      </c>
      <c r="D36" s="3">
        <f>IF($B36=0,"",VLOOKUP($B36,seznam!$A$2:$E$51,4))</f>
      </c>
      <c r="E36" s="238">
        <f>O34</f>
        <v>0</v>
      </c>
      <c r="F36" s="3">
        <f>IF($E36=0,"",VLOOKUP($E36,seznam!$A$2:$D$51,2))</f>
      </c>
      <c r="G36" s="3">
        <f>IF($E36=0,"",VLOOKUP($E36,seznam!$A$2:$E$51,4))</f>
      </c>
      <c r="H36" s="262"/>
      <c r="I36" s="263"/>
      <c r="J36" s="263"/>
      <c r="K36" s="263"/>
      <c r="L36" s="264"/>
      <c r="M36" s="3">
        <f>COUNTIF(T36:X36,"&gt;0")</f>
        <v>0</v>
      </c>
      <c r="N36" s="3">
        <f>COUNTIF(T36:X36,"&lt;0")</f>
        <v>0</v>
      </c>
      <c r="O36" s="3">
        <f>IF(M36=N36,0,IF(M36&gt;N36,B36,E36))</f>
        <v>0</v>
      </c>
      <c r="P36" s="3">
        <f>IF($O36=0,"",VLOOKUP($O36,seznam!$A$2:$D$51,2))</f>
      </c>
      <c r="Q36" s="3">
        <f>IF(M36=N36,"",IF(M36&gt;N36,CONCATENATE(M36,":",N36," (",H36,",",I36,",",J36,IF(SUM(M36:N36)&gt;3,",",""),K36,IF(SUM(M36:N36)&gt;4,",",""),L36,")"),CONCATENATE(N36,":",M36," (",IF(H36="0","-0",-H36),",",IF(I36="0","-0",-I36),",",IF(J36="0","-0",-J36),IF(SUM(M36:N36)&gt;3,CONCATENATE(",",IF(K36="0","-0",-K36)),""),IF(SUM(M36:N36)&gt;4,CONCATENATE(",",IF(L36="0","-0",-L36)),""),")")))</f>
      </c>
      <c r="R36" s="3">
        <f>IF(MAX(M36:N36)=3,Q36,"")</f>
      </c>
      <c r="T36" s="4">
        <f>IF(H36="",0,IF(MID(H36,1,1)="-",-1,1))</f>
        <v>0</v>
      </c>
      <c r="U36" s="4">
        <f>IF(I36="",0,IF(MID(I36,1,1)="-",-1,1))</f>
        <v>0</v>
      </c>
      <c r="V36" s="4">
        <f>IF(J36="",0,IF(MID(J36,1,1)="-",-1,1))</f>
        <v>0</v>
      </c>
      <c r="W36" s="4">
        <f>IF(K36="",0,IF(MID(K36,1,1)="-",-1,1))</f>
        <v>0</v>
      </c>
      <c r="X36" s="4">
        <f>IF(L36="",0,IF(MID(L36,1,1)="-",-1,1))</f>
        <v>0</v>
      </c>
    </row>
    <row r="37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Poledne</dc:creator>
  <cp:keywords/>
  <dc:description/>
  <cp:lastModifiedBy>Martin_PSST</cp:lastModifiedBy>
  <cp:lastPrinted>2013-03-03T19:18:13Z</cp:lastPrinted>
  <dcterms:created xsi:type="dcterms:W3CDTF">2007-03-24T17:40:32Z</dcterms:created>
  <dcterms:modified xsi:type="dcterms:W3CDTF">2013-03-03T19:22:59Z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